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65" windowWidth="20115" windowHeight="8445"/>
  </bookViews>
  <sheets>
    <sheet name="datos" sheetId="1" r:id="rId1"/>
    <sheet name="tabla costos" sheetId="2" r:id="rId2"/>
    <sheet name="CAUE &amp; Tasa interés" sheetId="5" r:id="rId3"/>
    <sheet name="CAUE &amp; periodo estudio" sheetId="6" r:id="rId4"/>
    <sheet name="DATOS GRÁFICO" sheetId="3" r:id="rId5"/>
    <sheet name="factores actualización" sheetId="4" r:id="rId6"/>
  </sheets>
  <definedNames>
    <definedName name="_xlnm.Print_Area" localSheetId="0">datos!$B$2:$M$28</definedName>
  </definedNames>
  <calcPr calcId="145621"/>
</workbook>
</file>

<file path=xl/calcChain.xml><?xml version="1.0" encoding="utf-8"?>
<calcChain xmlns="http://schemas.openxmlformats.org/spreadsheetml/2006/main">
  <c r="C4" i="2" l="1"/>
  <c r="A20" i="2" l="1"/>
  <c r="A21" i="2"/>
  <c r="B6" i="3"/>
  <c r="B5" i="3"/>
  <c r="B1" i="4"/>
  <c r="B9" i="4" s="1"/>
  <c r="K43" i="1"/>
  <c r="K44" i="1"/>
  <c r="K45" i="1"/>
  <c r="K46" i="1"/>
  <c r="K47" i="1"/>
  <c r="K48" i="1"/>
  <c r="K49" i="1"/>
  <c r="K50" i="1"/>
  <c r="B8" i="4" l="1"/>
  <c r="B17" i="4"/>
  <c r="B27" i="4"/>
  <c r="B11" i="4"/>
  <c r="B24" i="4"/>
  <c r="B22" i="4"/>
  <c r="B6" i="4"/>
  <c r="D9" i="4"/>
  <c r="C9" i="4"/>
  <c r="B25" i="4"/>
  <c r="B19" i="4"/>
  <c r="B14" i="4"/>
  <c r="B4" i="4"/>
  <c r="B28" i="4"/>
  <c r="B26" i="4"/>
  <c r="B21" i="4"/>
  <c r="B15" i="4"/>
  <c r="B12" i="4"/>
  <c r="B10" i="4"/>
  <c r="B5" i="4"/>
  <c r="B23" i="4"/>
  <c r="B20" i="4"/>
  <c r="B18" i="4"/>
  <c r="B13" i="4"/>
  <c r="B7" i="4"/>
  <c r="B16" i="4"/>
  <c r="D6" i="4" l="1"/>
  <c r="C6" i="4"/>
  <c r="D22" i="4"/>
  <c r="C22" i="4"/>
  <c r="D24" i="4"/>
  <c r="C24" i="4"/>
  <c r="D11" i="4"/>
  <c r="C11" i="4"/>
  <c r="D27" i="4"/>
  <c r="C27" i="4"/>
  <c r="D17" i="4"/>
  <c r="C17" i="4"/>
  <c r="D8" i="4"/>
  <c r="C8" i="4"/>
  <c r="F9" i="4"/>
  <c r="G9" i="4" s="1"/>
  <c r="E9" i="4"/>
  <c r="D23" i="4"/>
  <c r="C23" i="4"/>
  <c r="D4" i="4"/>
  <c r="C4" i="4"/>
  <c r="D5" i="4"/>
  <c r="C5" i="4"/>
  <c r="D14" i="4"/>
  <c r="C14" i="4"/>
  <c r="D19" i="4"/>
  <c r="C19" i="4"/>
  <c r="D16" i="4"/>
  <c r="C16" i="4"/>
  <c r="D7" i="4"/>
  <c r="C7" i="4"/>
  <c r="C13" i="4"/>
  <c r="D13" i="4"/>
  <c r="D21" i="4"/>
  <c r="C21" i="4"/>
  <c r="D12" i="4"/>
  <c r="C12" i="4"/>
  <c r="C18" i="4"/>
  <c r="D18" i="4"/>
  <c r="C26" i="4"/>
  <c r="D26" i="4"/>
  <c r="C10" i="4"/>
  <c r="D10" i="4"/>
  <c r="D25" i="4"/>
  <c r="C25" i="4"/>
  <c r="D15" i="4"/>
  <c r="C15" i="4"/>
  <c r="D20" i="4"/>
  <c r="C20" i="4"/>
  <c r="C28" i="4"/>
  <c r="D28" i="4"/>
  <c r="F24" i="4" l="1"/>
  <c r="G24" i="4" s="1"/>
  <c r="E24" i="4"/>
  <c r="F11" i="4"/>
  <c r="G11" i="4" s="1"/>
  <c r="E11" i="4"/>
  <c r="E17" i="4"/>
  <c r="F17" i="4"/>
  <c r="G17" i="4" s="1"/>
  <c r="E22" i="4"/>
  <c r="F22" i="4"/>
  <c r="G22" i="4" s="1"/>
  <c r="F8" i="4"/>
  <c r="G8" i="4" s="1"/>
  <c r="E8" i="4"/>
  <c r="E27" i="4"/>
  <c r="F27" i="4"/>
  <c r="G27" i="4" s="1"/>
  <c r="F6" i="4"/>
  <c r="G6" i="4" s="1"/>
  <c r="E6" i="4"/>
  <c r="F4" i="4"/>
  <c r="G4" i="4" s="1"/>
  <c r="E4" i="4"/>
  <c r="E18" i="4"/>
  <c r="F18" i="4"/>
  <c r="G18" i="4" s="1"/>
  <c r="E15" i="4"/>
  <c r="F15" i="4"/>
  <c r="G15" i="4" s="1"/>
  <c r="E7" i="4"/>
  <c r="F7" i="4"/>
  <c r="G7" i="4" s="1"/>
  <c r="E5" i="4"/>
  <c r="F5" i="4"/>
  <c r="G5" i="4" s="1"/>
  <c r="F25" i="4"/>
  <c r="G25" i="4" s="1"/>
  <c r="E25" i="4"/>
  <c r="F28" i="4"/>
  <c r="G28" i="4" s="1"/>
  <c r="E28" i="4"/>
  <c r="F10" i="4"/>
  <c r="G10" i="4" s="1"/>
  <c r="E10" i="4"/>
  <c r="F21" i="4"/>
  <c r="G21" i="4" s="1"/>
  <c r="E21" i="4"/>
  <c r="E19" i="4"/>
  <c r="F19" i="4"/>
  <c r="G19" i="4" s="1"/>
  <c r="F23" i="4"/>
  <c r="G23" i="4" s="1"/>
  <c r="E23" i="4"/>
  <c r="F12" i="4"/>
  <c r="G12" i="4" s="1"/>
  <c r="E12" i="4"/>
  <c r="F26" i="4"/>
  <c r="G26" i="4" s="1"/>
  <c r="E26" i="4"/>
  <c r="E13" i="4"/>
  <c r="F13" i="4"/>
  <c r="G13" i="4" s="1"/>
  <c r="F16" i="4"/>
  <c r="G16" i="4" s="1"/>
  <c r="E16" i="4"/>
  <c r="F20" i="4"/>
  <c r="G20" i="4" s="1"/>
  <c r="E20" i="4"/>
  <c r="F14" i="4"/>
  <c r="G14" i="4" s="1"/>
  <c r="E14" i="4"/>
  <c r="K12" i="1" l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F4" i="2"/>
  <c r="F6" i="2"/>
  <c r="I11" i="1"/>
  <c r="F11" i="1"/>
  <c r="C11" i="1"/>
  <c r="B1" i="3" s="1"/>
  <c r="O12" i="2" l="1"/>
  <c r="O20" i="2"/>
  <c r="O13" i="2"/>
  <c r="O21" i="2"/>
  <c r="O14" i="2"/>
  <c r="O22" i="2"/>
  <c r="O7" i="2"/>
  <c r="O15" i="2"/>
  <c r="O23" i="2"/>
  <c r="O8" i="2"/>
  <c r="O16" i="2"/>
  <c r="O24" i="2"/>
  <c r="O9" i="2"/>
  <c r="O17" i="2"/>
  <c r="O25" i="2"/>
  <c r="O10" i="2"/>
  <c r="O18" i="2"/>
  <c r="O6" i="2"/>
  <c r="O11" i="2"/>
  <c r="O19" i="2"/>
  <c r="A18" i="2"/>
  <c r="A19" i="2"/>
  <c r="B2" i="3"/>
  <c r="B4" i="3"/>
  <c r="J5" i="2"/>
  <c r="C11" i="2"/>
  <c r="C9" i="2"/>
  <c r="B9" i="2"/>
  <c r="B11" i="2"/>
  <c r="B4" i="2"/>
  <c r="E3" i="2" l="1"/>
  <c r="D5" i="2"/>
  <c r="D6" i="2"/>
  <c r="B3" i="2"/>
  <c r="C3" i="2"/>
  <c r="F3" i="2"/>
  <c r="C16" i="2" s="1"/>
  <c r="C17" i="2" s="1"/>
  <c r="D4" i="2"/>
  <c r="I5" i="2"/>
  <c r="F5" i="2"/>
  <c r="C2" i="2"/>
  <c r="E2" i="2"/>
  <c r="F2" i="2"/>
  <c r="B2" i="2"/>
  <c r="I12" i="1"/>
  <c r="F12" i="1"/>
  <c r="C12" i="1"/>
  <c r="N22" i="2" l="1"/>
  <c r="N16" i="2"/>
  <c r="N17" i="2"/>
  <c r="K16" i="2"/>
  <c r="K12" i="2"/>
  <c r="N25" i="2"/>
  <c r="K20" i="2"/>
  <c r="N11" i="2"/>
  <c r="K9" i="2"/>
  <c r="K13" i="2"/>
  <c r="N19" i="2"/>
  <c r="K25" i="2"/>
  <c r="N12" i="2"/>
  <c r="K15" i="2"/>
  <c r="K22" i="2"/>
  <c r="N20" i="2"/>
  <c r="K17" i="2"/>
  <c r="N18" i="2"/>
  <c r="K6" i="2"/>
  <c r="N21" i="2"/>
  <c r="N7" i="2"/>
  <c r="N24" i="2"/>
  <c r="N10" i="2"/>
  <c r="K24" i="2"/>
  <c r="K14" i="2"/>
  <c r="N23" i="2"/>
  <c r="K7" i="2"/>
  <c r="K21" i="2"/>
  <c r="N9" i="2"/>
  <c r="K18" i="2"/>
  <c r="N6" i="2"/>
  <c r="K23" i="2"/>
  <c r="K10" i="2"/>
  <c r="K11" i="2"/>
  <c r="N14" i="2"/>
  <c r="K8" i="2"/>
  <c r="N15" i="2"/>
  <c r="N13" i="2"/>
  <c r="N8" i="2"/>
  <c r="K19" i="2"/>
  <c r="K37" i="2"/>
  <c r="N37" i="2"/>
  <c r="I36" i="2"/>
  <c r="K36" i="2"/>
  <c r="I37" i="2"/>
  <c r="N36" i="2"/>
  <c r="I38" i="2"/>
  <c r="I39" i="2"/>
  <c r="L38" i="2"/>
  <c r="L39" i="2"/>
  <c r="I6" i="2"/>
  <c r="P6" i="2" s="1"/>
  <c r="K38" i="2"/>
  <c r="L6" i="2" l="1"/>
  <c r="M6" i="2" s="1"/>
  <c r="N26" i="2"/>
  <c r="I7" i="2"/>
  <c r="L7" i="2" l="1"/>
  <c r="M7" i="2" s="1"/>
  <c r="P7" i="2"/>
  <c r="I8" i="2"/>
  <c r="L8" i="2" l="1"/>
  <c r="M8" i="2" s="1"/>
  <c r="P8" i="2"/>
  <c r="I9" i="2"/>
  <c r="L9" i="2" l="1"/>
  <c r="M9" i="2" s="1"/>
  <c r="P9" i="2"/>
  <c r="I10" i="2"/>
  <c r="P10" i="2" s="1"/>
  <c r="L10" i="2" l="1"/>
  <c r="M10" i="2" s="1"/>
  <c r="I11" i="2"/>
  <c r="L11" i="2" l="1"/>
  <c r="M11" i="2" s="1"/>
  <c r="P11" i="2"/>
  <c r="I12" i="2"/>
  <c r="L12" i="2" l="1"/>
  <c r="M12" i="2" s="1"/>
  <c r="P12" i="2"/>
  <c r="I13" i="2"/>
  <c r="L13" i="2" l="1"/>
  <c r="M13" i="2" s="1"/>
  <c r="P13" i="2"/>
  <c r="I14" i="2"/>
  <c r="L14" i="2" l="1"/>
  <c r="M14" i="2" s="1"/>
  <c r="P14" i="2"/>
  <c r="I15" i="2"/>
  <c r="P15" i="2" s="1"/>
  <c r="L15" i="2" l="1"/>
  <c r="M15" i="2" s="1"/>
  <c r="I16" i="2"/>
  <c r="L16" i="2" l="1"/>
  <c r="M16" i="2" s="1"/>
  <c r="P16" i="2"/>
  <c r="I17" i="2"/>
  <c r="L17" i="2" l="1"/>
  <c r="M17" i="2" s="1"/>
  <c r="P17" i="2"/>
  <c r="I18" i="2"/>
  <c r="L18" i="2" l="1"/>
  <c r="M18" i="2" s="1"/>
  <c r="P18" i="2"/>
  <c r="I19" i="2"/>
  <c r="L19" i="2" l="1"/>
  <c r="M19" i="2" s="1"/>
  <c r="P19" i="2"/>
  <c r="I20" i="2"/>
  <c r="L20" i="2" l="1"/>
  <c r="M20" i="2" s="1"/>
  <c r="P20" i="2"/>
  <c r="I21" i="2"/>
  <c r="L21" i="2" l="1"/>
  <c r="M21" i="2" s="1"/>
  <c r="P21" i="2"/>
  <c r="I22" i="2"/>
  <c r="L22" i="2" l="1"/>
  <c r="M22" i="2" s="1"/>
  <c r="P22" i="2"/>
  <c r="I23" i="2"/>
  <c r="L23" i="2" l="1"/>
  <c r="M23" i="2" s="1"/>
  <c r="P23" i="2"/>
  <c r="I24" i="2"/>
  <c r="L24" i="2" l="1"/>
  <c r="M24" i="2" s="1"/>
  <c r="P24" i="2"/>
  <c r="I25" i="2"/>
  <c r="P25" i="2" s="1"/>
  <c r="P26" i="2" l="1"/>
  <c r="L25" i="2"/>
  <c r="M25" i="2" s="1"/>
  <c r="M26" i="2" s="1"/>
  <c r="C19" i="2" s="1"/>
  <c r="C21" i="2" s="1"/>
  <c r="C18" i="2" l="1"/>
  <c r="C20" i="2" s="1"/>
  <c r="B3" i="3"/>
  <c r="E10" i="3" l="1"/>
  <c r="E18" i="3"/>
  <c r="E26" i="3"/>
  <c r="E14" i="3"/>
  <c r="E23" i="3"/>
  <c r="E12" i="3"/>
  <c r="E20" i="3"/>
  <c r="E28" i="3"/>
  <c r="E13" i="3"/>
  <c r="E21" i="3"/>
  <c r="E22" i="3"/>
  <c r="E15" i="3"/>
  <c r="E16" i="3"/>
  <c r="E24" i="3"/>
  <c r="E17" i="3"/>
  <c r="E25" i="3"/>
  <c r="E11" i="3"/>
  <c r="E19" i="3"/>
  <c r="E27" i="3"/>
  <c r="E9" i="3"/>
  <c r="B9" i="3"/>
  <c r="B16" i="3"/>
  <c r="B32" i="3"/>
  <c r="B48" i="3"/>
  <c r="B21" i="3"/>
  <c r="B37" i="3"/>
  <c r="B52" i="3"/>
  <c r="B45" i="3"/>
  <c r="B22" i="3"/>
  <c r="B38" i="3"/>
  <c r="B53" i="3"/>
  <c r="B23" i="3"/>
  <c r="B39" i="3"/>
  <c r="B54" i="3"/>
  <c r="B24" i="3"/>
  <c r="B40" i="3"/>
  <c r="B55" i="3"/>
  <c r="B29" i="3"/>
  <c r="B14" i="3"/>
  <c r="B30" i="3"/>
  <c r="B46" i="3"/>
  <c r="B15" i="3"/>
  <c r="B31" i="3"/>
  <c r="B47" i="3"/>
  <c r="B13" i="3"/>
  <c r="B56" i="3"/>
  <c r="B44" i="3"/>
  <c r="B11" i="3"/>
  <c r="B10" i="3"/>
  <c r="B50" i="3"/>
  <c r="B43" i="3"/>
  <c r="B41" i="3"/>
  <c r="B28" i="3"/>
  <c r="B20" i="3"/>
  <c r="B36" i="3"/>
  <c r="B51" i="3"/>
  <c r="B42" i="3"/>
  <c r="B34" i="3"/>
  <c r="B59" i="3"/>
  <c r="B58" i="3"/>
  <c r="B12" i="3"/>
  <c r="B57" i="3"/>
  <c r="B35" i="3"/>
  <c r="B27" i="3"/>
  <c r="B26" i="3"/>
  <c r="B33" i="3"/>
  <c r="B19" i="3"/>
  <c r="B18" i="3"/>
  <c r="B25" i="3"/>
  <c r="B49" i="3"/>
  <c r="B17" i="3"/>
</calcChain>
</file>

<file path=xl/comments1.xml><?xml version="1.0" encoding="utf-8"?>
<comments xmlns="http://schemas.openxmlformats.org/spreadsheetml/2006/main">
  <authors>
    <author>Marco López Roudergue</author>
  </authors>
  <commentList>
    <comment ref="B2" authorId="0">
      <text>
        <r>
          <rPr>
            <b/>
            <sz val="9"/>
            <color indexed="81"/>
            <rFont val="Tahoma"/>
            <family val="2"/>
          </rPr>
          <t>Marco López Roudergue:</t>
        </r>
        <r>
          <rPr>
            <sz val="9"/>
            <color indexed="81"/>
            <rFont val="Tahoma"/>
            <family val="2"/>
          </rPr>
          <t xml:space="preserve">
contraseña="datos"</t>
        </r>
      </text>
    </comment>
    <comment ref="D6" authorId="0">
      <text>
        <r>
          <rPr>
            <b/>
            <sz val="9"/>
            <color indexed="81"/>
            <rFont val="Tahoma"/>
            <family val="2"/>
          </rPr>
          <t>Marco López Roudergue:</t>
        </r>
        <r>
          <rPr>
            <sz val="9"/>
            <color indexed="81"/>
            <rFont val="Tahoma"/>
            <family val="2"/>
          </rPr>
          <t xml:space="preserve">
máximo 20 AÑOS</t>
        </r>
      </text>
    </comment>
  </commentList>
</comments>
</file>

<file path=xl/comments2.xml><?xml version="1.0" encoding="utf-8"?>
<comments xmlns="http://schemas.openxmlformats.org/spreadsheetml/2006/main">
  <authors>
    <author>Marco López Roudergue</author>
  </authors>
  <commentList>
    <comment ref="A2" authorId="0">
      <text>
        <r>
          <rPr>
            <b/>
            <sz val="9"/>
            <color indexed="81"/>
            <rFont val="Tahoma"/>
            <family val="2"/>
          </rPr>
          <t>Marco López Roudergue:</t>
        </r>
        <r>
          <rPr>
            <sz val="9"/>
            <color indexed="81"/>
            <rFont val="Tahoma"/>
            <family val="2"/>
          </rPr>
          <t xml:space="preserve">
contraseña=datos</t>
        </r>
      </text>
    </comment>
  </commentList>
</comments>
</file>

<file path=xl/sharedStrings.xml><?xml version="1.0" encoding="utf-8"?>
<sst xmlns="http://schemas.openxmlformats.org/spreadsheetml/2006/main" count="66" uniqueCount="59">
  <si>
    <t>Nombre:</t>
  </si>
  <si>
    <t>Cultivo:</t>
  </si>
  <si>
    <t>Rut:</t>
  </si>
  <si>
    <t xml:space="preserve">Año </t>
  </si>
  <si>
    <t>Juan Pérez Pérez</t>
  </si>
  <si>
    <t>U.F.</t>
  </si>
  <si>
    <t>Inversión Inicial ($)</t>
  </si>
  <si>
    <t>Valor de reventa de equipos ($)</t>
  </si>
  <si>
    <t>Total  ($)</t>
  </si>
  <si>
    <t>Total ($)</t>
  </si>
  <si>
    <t>Total (U.F.)</t>
  </si>
  <si>
    <t>Costos anuales ($/año)</t>
  </si>
  <si>
    <t>Periodo estudio (años)</t>
  </si>
  <si>
    <t>Año</t>
  </si>
  <si>
    <t>Inversión inicial</t>
  </si>
  <si>
    <t>Superficie (Ha)</t>
  </si>
  <si>
    <t>Costo Anual</t>
  </si>
  <si>
    <t>Ingresos finales</t>
  </si>
  <si>
    <t xml:space="preserve">TABLA DE FLUJO DE COSTOS  (UF)  (EGRESOS "+" ; INGRESOS "-") </t>
  </si>
  <si>
    <t>Tasa de interés anual (%)</t>
  </si>
  <si>
    <t>Gasto ocasional ($)</t>
  </si>
  <si>
    <t>año</t>
  </si>
  <si>
    <t>monto ($)</t>
  </si>
  <si>
    <t>descripción</t>
  </si>
  <si>
    <t>Total</t>
  </si>
  <si>
    <t>n</t>
  </si>
  <si>
    <t>tasa interés</t>
  </si>
  <si>
    <t>(F/P,i,n)</t>
  </si>
  <si>
    <t>(P/F,i,n)</t>
  </si>
  <si>
    <t>(F/A,i,n)</t>
  </si>
  <si>
    <t>(A/F,i,n)</t>
  </si>
  <si>
    <t>(P/A,i,n)</t>
  </si>
  <si>
    <t>(A/P,i,n)</t>
  </si>
  <si>
    <t>TASA DE INTERÉS</t>
  </si>
  <si>
    <t>INVERSION INICIAL</t>
  </si>
  <si>
    <t>COSTO ANUAL</t>
  </si>
  <si>
    <t>GASTO OCASIONAL ACTUALIZADO</t>
  </si>
  <si>
    <t>VALOR REVENTA EQUIPOS</t>
  </si>
  <si>
    <t>PERIODO ESTUDIO (AÑOS)</t>
  </si>
  <si>
    <t>CAUE (m$/AÑO)</t>
  </si>
  <si>
    <t>Tasa de Interés anual</t>
  </si>
  <si>
    <t>periodo estudio</t>
  </si>
  <si>
    <t>11,111,111-1</t>
  </si>
  <si>
    <t>mantención</t>
  </si>
  <si>
    <t>reventa</t>
  </si>
  <si>
    <t>OBSERVACIONES</t>
  </si>
  <si>
    <t>Inversión inicial por hectárea =</t>
  </si>
  <si>
    <t>costo anual energía</t>
  </si>
  <si>
    <t>gasto  ocasional</t>
  </si>
  <si>
    <t>cada año</t>
  </si>
  <si>
    <t>actualizado</t>
  </si>
  <si>
    <t>costo energía</t>
  </si>
  <si>
    <t>incremento anual real (%)</t>
  </si>
  <si>
    <t>Primer año ($)</t>
  </si>
  <si>
    <t>costo equipo</t>
  </si>
  <si>
    <t>instalación</t>
  </si>
  <si>
    <t>papa</t>
  </si>
  <si>
    <t>carrete</t>
  </si>
  <si>
    <t xml:space="preserve">operación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</si>
</sst>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2" formatCode="_-&quot;$&quot;\ * #,##0_-;\-&quot;$&quot;\ * #,##0_-;_-&quot;$&quot;\ 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[$$-340A]\ * #,##0_-;\-[$$-340A]\ * #,##0_-;_-[$$-340A]\ * &quot;-&quot;??_-;_-@_-"/>
    <numFmt numFmtId="165" formatCode="_-&quot;$&quot;\ * #,##0_-;\-&quot;$&quot;\ * #,##0_-;_-&quot;$&quot;\ * &quot;-&quot;??_-;_-@_-"/>
    <numFmt numFmtId="166" formatCode="_-* #,##0.0_-;\-* #,##0.0_-;_-* &quot;-&quot;_-;_-@_-"/>
    <numFmt numFmtId="167" formatCode="0.0"/>
    <numFmt numFmtId="168" formatCode="0.0000"/>
    <numFmt numFmtId="169" formatCode="_-&quot;M$/año&quot;\ * #,##0.0_-;\-&quot;$&quot;\ * #,##0.0_-;_-&quot;$&quot;\ * &quot;-&quot;??_-;_-@_-"/>
    <numFmt numFmtId="170" formatCode="_-* #,##0_-;\-* #,##0_-;_-* &quot;-&quot;??_-;_-@_-"/>
    <numFmt numFmtId="171" formatCode="_-&quot;UF/año&quot;\ * #,##0.0_-;\-&quot;$&quot;\ * #,##0.0_-;_-&quot;$&quot;\ * &quot;-&quot;??_-;_-@_-"/>
    <numFmt numFmtId="172" formatCode="_-&quot;M$/Ha&quot;\ * #,##0.0_-;\-&quot;$&quot;\ * #,##0.0_-;_-&quot;$&quot;\ * &quot;-&quot;??_-;_-@_-"/>
    <numFmt numFmtId="173" formatCode="_-&quot;UF/Ha&quot;\ * #,##0.0_-;\-&quot;$&quot;\ * #,##0.0_-;_-&quot;$&quot;\ * &quot;-&quot;??_-;_-@_-"/>
    <numFmt numFmtId="174" formatCode="_-&quot;UF/(Ha*año)&quot;\ * #,##0.0_-;\-&quot;$&quot;\ * #,##0.0_-;_-&quot;$&quot;\ * &quot;-&quot;??_-;_-@_-"/>
    <numFmt numFmtId="175" formatCode="_-&quot;M$/(Ha*año)&quot;\ * #,##0.0_-;\-&quot;$&quot;\ * #,##0.0_-;_-&quot;$&quot;\ 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3">
    <xf numFmtId="0" fontId="0" fillId="0" borderId="0" xfId="0"/>
    <xf numFmtId="0" fontId="2" fillId="0" borderId="0" xfId="0" applyFont="1"/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42" fontId="2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Font="1" applyBorder="1" applyAlignment="1">
      <alignment horizontal="left" vertical="center"/>
    </xf>
    <xf numFmtId="0" fontId="0" fillId="0" borderId="1" xfId="0" applyBorder="1"/>
    <xf numFmtId="0" fontId="2" fillId="0" borderId="1" xfId="0" applyFont="1" applyBorder="1" applyAlignment="1">
      <alignment horizontal="left" vertical="center"/>
    </xf>
    <xf numFmtId="164" fontId="2" fillId="0" borderId="1" xfId="0" applyNumberFormat="1" applyFont="1" applyBorder="1" applyAlignment="1">
      <alignment horizontal="center"/>
    </xf>
    <xf numFmtId="166" fontId="0" fillId="0" borderId="5" xfId="0" applyNumberFormat="1" applyBorder="1"/>
    <xf numFmtId="0" fontId="4" fillId="0" borderId="6" xfId="0" applyFont="1" applyBorder="1"/>
    <xf numFmtId="165" fontId="4" fillId="0" borderId="3" xfId="1" applyNumberFormat="1" applyFont="1" applyBorder="1"/>
    <xf numFmtId="0" fontId="0" fillId="0" borderId="1" xfId="0" applyBorder="1" applyAlignment="1">
      <alignment horizontal="center"/>
    </xf>
    <xf numFmtId="0" fontId="2" fillId="0" borderId="1" xfId="0" applyFont="1" applyBorder="1"/>
    <xf numFmtId="0" fontId="0" fillId="0" borderId="3" xfId="0" applyBorder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7" fontId="0" fillId="0" borderId="0" xfId="0" applyNumberFormat="1"/>
    <xf numFmtId="1" fontId="0" fillId="0" borderId="0" xfId="0" applyNumberFormat="1"/>
    <xf numFmtId="9" fontId="0" fillId="0" borderId="0" xfId="0" applyNumberFormat="1"/>
    <xf numFmtId="9" fontId="0" fillId="0" borderId="0" xfId="0" applyNumberFormat="1" applyAlignment="1">
      <alignment horizontal="right"/>
    </xf>
    <xf numFmtId="168" fontId="0" fillId="0" borderId="0" xfId="0" applyNumberFormat="1"/>
    <xf numFmtId="0" fontId="0" fillId="0" borderId="0" xfId="0" applyAlignment="1">
      <alignment horizontal="right"/>
    </xf>
    <xf numFmtId="165" fontId="0" fillId="0" borderId="0" xfId="1" applyNumberFormat="1" applyFont="1"/>
    <xf numFmtId="0" fontId="0" fillId="0" borderId="1" xfId="0" applyBorder="1" applyProtection="1"/>
    <xf numFmtId="9" fontId="0" fillId="0" borderId="1" xfId="2" applyFont="1" applyBorder="1" applyProtection="1"/>
    <xf numFmtId="0" fontId="0" fillId="0" borderId="0" xfId="0" applyProtection="1"/>
    <xf numFmtId="0" fontId="0" fillId="0" borderId="0" xfId="0" applyAlignment="1">
      <alignment horizontal="center"/>
    </xf>
    <xf numFmtId="165" fontId="0" fillId="0" borderId="1" xfId="1" applyNumberFormat="1" applyFont="1" applyBorder="1"/>
    <xf numFmtId="0" fontId="4" fillId="0" borderId="7" xfId="0" applyFont="1" applyBorder="1" applyAlignment="1">
      <alignment horizontal="center"/>
    </xf>
    <xf numFmtId="169" fontId="0" fillId="0" borderId="0" xfId="1" applyNumberFormat="1" applyFont="1" applyAlignment="1">
      <alignment horizontal="center"/>
    </xf>
    <xf numFmtId="0" fontId="7" fillId="0" borderId="1" xfId="0" applyFont="1" applyBorder="1"/>
    <xf numFmtId="165" fontId="8" fillId="0" borderId="1" xfId="0" applyNumberFormat="1" applyFont="1" applyBorder="1"/>
    <xf numFmtId="9" fontId="0" fillId="0" borderId="0" xfId="2" applyFont="1"/>
    <xf numFmtId="170" fontId="0" fillId="0" borderId="0" xfId="3" applyNumberFormat="1" applyFont="1" applyAlignment="1">
      <alignment horizontal="center"/>
    </xf>
    <xf numFmtId="169" fontId="4" fillId="0" borderId="0" xfId="1" applyNumberFormat="1" applyFont="1" applyAlignment="1">
      <alignment horizontal="center"/>
    </xf>
    <xf numFmtId="166" fontId="0" fillId="0" borderId="3" xfId="0" applyNumberFormat="1" applyBorder="1"/>
    <xf numFmtId="0" fontId="0" fillId="0" borderId="0" xfId="0" applyBorder="1" applyAlignment="1">
      <alignment horizontal="left" vertical="top"/>
    </xf>
    <xf numFmtId="165" fontId="0" fillId="0" borderId="4" xfId="1" applyNumberFormat="1" applyFont="1" applyBorder="1" applyProtection="1"/>
    <xf numFmtId="173" fontId="4" fillId="0" borderId="0" xfId="1" applyNumberFormat="1" applyFont="1" applyAlignment="1">
      <alignment horizontal="center"/>
    </xf>
    <xf numFmtId="165" fontId="9" fillId="0" borderId="14" xfId="1" applyNumberFormat="1" applyFont="1" applyBorder="1" applyAlignment="1">
      <alignment horizontal="center"/>
    </xf>
    <xf numFmtId="9" fontId="9" fillId="0" borderId="19" xfId="2" applyFont="1" applyBorder="1" applyAlignment="1">
      <alignment horizontal="center"/>
    </xf>
    <xf numFmtId="0" fontId="3" fillId="0" borderId="1" xfId="0" applyFont="1" applyBorder="1" applyAlignment="1"/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/>
    </xf>
    <xf numFmtId="9" fontId="2" fillId="0" borderId="1" xfId="2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9" fillId="0" borderId="2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3" fillId="0" borderId="13" xfId="0" applyFont="1" applyBorder="1" applyAlignment="1">
      <alignment horizontal="left" vertical="center"/>
    </xf>
    <xf numFmtId="0" fontId="3" fillId="0" borderId="18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0" xfId="0" applyAlignment="1">
      <alignment horizontal="center"/>
    </xf>
    <xf numFmtId="0" fontId="4" fillId="0" borderId="15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172" fontId="4" fillId="0" borderId="13" xfId="1" applyNumberFormat="1" applyFont="1" applyBorder="1" applyAlignment="1">
      <alignment horizontal="center"/>
    </xf>
    <xf numFmtId="172" fontId="4" fillId="0" borderId="14" xfId="1" applyNumberFormat="1" applyFont="1" applyBorder="1" applyAlignment="1">
      <alignment horizontal="center"/>
    </xf>
    <xf numFmtId="173" fontId="4" fillId="0" borderId="1" xfId="1" applyNumberFormat="1" applyFont="1" applyBorder="1" applyAlignment="1">
      <alignment horizontal="center"/>
    </xf>
    <xf numFmtId="173" fontId="4" fillId="0" borderId="16" xfId="1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69" fontId="4" fillId="0" borderId="1" xfId="1" applyNumberFormat="1" applyFont="1" applyBorder="1" applyAlignment="1">
      <alignment horizontal="center"/>
    </xf>
    <xf numFmtId="169" fontId="4" fillId="0" borderId="16" xfId="1" applyNumberFormat="1" applyFont="1" applyBorder="1" applyAlignment="1">
      <alignment horizontal="center"/>
    </xf>
    <xf numFmtId="0" fontId="4" fillId="0" borderId="21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175" fontId="4" fillId="0" borderId="1" xfId="1" applyNumberFormat="1" applyFont="1" applyBorder="1" applyAlignment="1">
      <alignment horizontal="center"/>
    </xf>
    <xf numFmtId="175" fontId="4" fillId="0" borderId="16" xfId="1" applyNumberFormat="1" applyFont="1" applyBorder="1" applyAlignment="1">
      <alignment horizontal="center"/>
    </xf>
    <xf numFmtId="174" fontId="4" fillId="0" borderId="1" xfId="1" applyNumberFormat="1" applyFont="1" applyBorder="1" applyAlignment="1">
      <alignment horizontal="center"/>
    </xf>
    <xf numFmtId="174" fontId="4" fillId="0" borderId="16" xfId="1" applyNumberFormat="1" applyFont="1" applyBorder="1" applyAlignment="1">
      <alignment horizontal="center"/>
    </xf>
    <xf numFmtId="171" fontId="4" fillId="0" borderId="1" xfId="1" applyNumberFormat="1" applyFont="1" applyBorder="1" applyAlignment="1">
      <alignment horizontal="center"/>
    </xf>
    <xf numFmtId="171" fontId="4" fillId="0" borderId="16" xfId="1" applyNumberFormat="1" applyFont="1" applyBorder="1" applyAlignment="1">
      <alignment horizontal="center"/>
    </xf>
  </cellXfs>
  <cellStyles count="4">
    <cellStyle name="Millares" xfId="3" builtinId="3"/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chartsheet" Target="chartsheets/sheet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5" Type="http://schemas.openxmlformats.org/officeDocument/2006/relationships/worksheet" Target="worksheets/sheet3.xml"/><Relationship Id="rId10" Type="http://schemas.openxmlformats.org/officeDocument/2006/relationships/calcChain" Target="calcChain.xml"/><Relationship Id="rId4" Type="http://schemas.openxmlformats.org/officeDocument/2006/relationships/chartsheet" Target="chartsheets/sheet2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/>
            </a:pPr>
            <a:r>
              <a:rPr lang="en-US"/>
              <a:t>Costo Anual Uniforme Equivalente</a:t>
            </a:r>
            <a:r>
              <a:rPr lang="en-US" baseline="0"/>
              <a:t> (CAUE)</a:t>
            </a:r>
          </a:p>
          <a:p>
            <a:pPr>
              <a:defRPr/>
            </a:pPr>
            <a:r>
              <a:rPr lang="en-US"/>
              <a:t>(M$/AÑO)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'DATOS GRÁFICO'!$B$8</c:f>
              <c:strCache>
                <c:ptCount val="1"/>
                <c:pt idx="0">
                  <c:v>CAUE (m$/AÑO)</c:v>
                </c:pt>
              </c:strCache>
            </c:strRef>
          </c:tx>
          <c:xVal>
            <c:numRef>
              <c:f>'DATOS GRÁFICO'!$A$9:$A$59</c:f>
              <c:numCache>
                <c:formatCode>0%</c:formatCode>
                <c:ptCount val="51"/>
                <c:pt idx="0">
                  <c:v>1.0000000000000001E-5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</c:numCache>
            </c:numRef>
          </c:xVal>
          <c:yVal>
            <c:numRef>
              <c:f>'DATOS GRÁFICO'!$B$9:$B$59</c:f>
              <c:numCache>
                <c:formatCode>_-* #,##0_-;\-* #,##0_-;_-* "-"??_-;_-@_-</c:formatCode>
                <c:ptCount val="51"/>
                <c:pt idx="0">
                  <c:v>4317.8791738518812</c:v>
                </c:pt>
                <c:pt idx="1">
                  <c:v>4595.0008740716003</c:v>
                </c:pt>
                <c:pt idx="2">
                  <c:v>4884.8259553486187</c:v>
                </c:pt>
                <c:pt idx="3">
                  <c:v>5186.820898376036</c:v>
                </c:pt>
                <c:pt idx="4">
                  <c:v>5500.68048845469</c:v>
                </c:pt>
                <c:pt idx="5">
                  <c:v>5826.0618998571445</c:v>
                </c:pt>
                <c:pt idx="6">
                  <c:v>6162.5900871223012</c:v>
                </c:pt>
                <c:pt idx="7">
                  <c:v>6509.8632427407383</c:v>
                </c:pt>
                <c:pt idx="8">
                  <c:v>6867.4581997335254</c:v>
                </c:pt>
                <c:pt idx="9">
                  <c:v>7234.9356724930922</c:v>
                </c:pt>
                <c:pt idx="10">
                  <c:v>7611.8452460532008</c:v>
                </c:pt>
                <c:pt idx="11">
                  <c:v>7997.7300416722201</c:v>
                </c:pt>
                <c:pt idx="12">
                  <c:v>8392.131004347124</c:v>
                </c:pt>
                <c:pt idx="13">
                  <c:v>8794.5907748739537</c:v>
                </c:pt>
                <c:pt idx="14">
                  <c:v>9204.6571247497686</c:v>
                </c:pt>
                <c:pt idx="15">
                  <c:v>9621.8859461580323</c:v>
                </c:pt>
                <c:pt idx="16">
                  <c:v>10045.843801241592</c:v>
                </c:pt>
                <c:pt idx="17">
                  <c:v>10476.110044735569</c:v>
                </c:pt>
                <c:pt idx="18">
                  <c:v>10912.27854181466</c:v>
                </c:pt>
                <c:pt idx="19">
                  <c:v>11353.95900880843</c:v>
                </c:pt>
                <c:pt idx="20">
                  <c:v>11800.778008422325</c:v>
                </c:pt>
                <c:pt idx="21">
                  <c:v>12252.379633483504</c:v>
                </c:pt>
                <c:pt idx="22">
                  <c:v>12708.425914244133</c:v>
                </c:pt>
                <c:pt idx="23">
                  <c:v>13168.596984160335</c:v>
                </c:pt>
                <c:pt idx="24">
                  <c:v>13632.59103805628</c:v>
                </c:pt>
                <c:pt idx="25">
                  <c:v>14100.124114895605</c:v>
                </c:pt>
                <c:pt idx="26">
                  <c:v>14570.929735211097</c:v>
                </c:pt>
                <c:pt idx="27">
                  <c:v>15044.758420756212</c:v>
                </c:pt>
                <c:pt idx="28">
                  <c:v>15521.377121279293</c:v>
                </c:pt>
                <c:pt idx="29">
                  <c:v>16000.568570599093</c:v>
                </c:pt>
                <c:pt idx="30">
                  <c:v>16482.130591467918</c:v>
                </c:pt>
                <c:pt idx="31">
                  <c:v>16965.875366115095</c:v>
                </c:pt>
                <c:pt idx="32">
                  <c:v>17451.628686917491</c:v>
                </c:pt>
                <c:pt idx="33">
                  <c:v>17939.229199378227</c:v>
                </c:pt>
                <c:pt idx="34">
                  <c:v>18428.527647528223</c:v>
                </c:pt>
                <c:pt idx="35">
                  <c:v>18919.38613000781</c:v>
                </c:pt>
                <c:pt idx="36">
                  <c:v>19411.677373435577</c:v>
                </c:pt>
                <c:pt idx="37">
                  <c:v>19905.284028225054</c:v>
                </c:pt>
                <c:pt idx="38">
                  <c:v>20400.097990754908</c:v>
                </c:pt>
                <c:pt idx="39">
                  <c:v>20896.01975472262</c:v>
                </c:pt>
                <c:pt idx="40">
                  <c:v>21392.957793599617</c:v>
                </c:pt>
                <c:pt idx="41">
                  <c:v>21890.827975342363</c:v>
                </c:pt>
                <c:pt idx="42">
                  <c:v>22389.553009882085</c:v>
                </c:pt>
                <c:pt idx="43">
                  <c:v>22889.061929400941</c:v>
                </c:pt>
                <c:pt idx="44">
                  <c:v>23389.289600989287</c:v>
                </c:pt>
                <c:pt idx="45">
                  <c:v>23890.176270953369</c:v>
                </c:pt>
                <c:pt idx="46">
                  <c:v>24391.667139793091</c:v>
                </c:pt>
                <c:pt idx="47">
                  <c:v>24893.711966683346</c:v>
                </c:pt>
                <c:pt idx="48">
                  <c:v>25396.264702160322</c:v>
                </c:pt>
                <c:pt idx="49">
                  <c:v>25899.283147626255</c:v>
                </c:pt>
                <c:pt idx="50">
                  <c:v>26402.728640235266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9154304"/>
        <c:axId val="89156224"/>
      </c:scatterChart>
      <c:valAx>
        <c:axId val="891543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CL"/>
                  <a:t>Tasa</a:t>
                </a:r>
                <a:r>
                  <a:rPr lang="es-CL" baseline="0"/>
                  <a:t> de Interés  anual</a:t>
                </a:r>
              </a:p>
            </c:rich>
          </c:tx>
          <c:overlay val="0"/>
        </c:title>
        <c:numFmt formatCode="0%" sourceLinked="1"/>
        <c:majorTickMark val="out"/>
        <c:minorTickMark val="none"/>
        <c:tickLblPos val="nextTo"/>
        <c:crossAx val="89156224"/>
        <c:crosses val="autoZero"/>
        <c:crossBetween val="midCat"/>
      </c:valAx>
      <c:valAx>
        <c:axId val="89156224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(M$/AÑO)</a:t>
                </a:r>
              </a:p>
            </c:rich>
          </c:tx>
          <c:layout>
            <c:manualLayout>
              <c:xMode val="edge"/>
              <c:yMode val="edge"/>
              <c:x val="7.4666662977716208E-2"/>
              <c:y val="7.0699905804645691E-2"/>
            </c:manualLayout>
          </c:layout>
          <c:overlay val="0"/>
        </c:title>
        <c:numFmt formatCode="_-* #,##0_-;\-* #,##0_-;_-* &quot;-&quot;??_-;_-@_-" sourceLinked="1"/>
        <c:majorTickMark val="out"/>
        <c:minorTickMark val="none"/>
        <c:tickLblPos val="nextTo"/>
        <c:crossAx val="89154304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/>
            </a:pPr>
            <a:r>
              <a:rPr lang="en-US"/>
              <a:t>Costo Anual Uniforme Equivalente</a:t>
            </a:r>
            <a:r>
              <a:rPr lang="en-US" baseline="0"/>
              <a:t> (CAUE)</a:t>
            </a:r>
          </a:p>
          <a:p>
            <a:pPr>
              <a:defRPr/>
            </a:pPr>
            <a:r>
              <a:rPr lang="en-US"/>
              <a:t>(M$/AÑO)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'DATOS GRÁFICO'!$E$8</c:f>
              <c:strCache>
                <c:ptCount val="1"/>
                <c:pt idx="0">
                  <c:v>CAUE (m$/AÑO)</c:v>
                </c:pt>
              </c:strCache>
            </c:strRef>
          </c:tx>
          <c:xVal>
            <c:numRef>
              <c:f>'DATOS GRÁFICO'!$D$9:$D$28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'DATOS GRÁFICO'!$E$9:$E$28</c:f>
              <c:numCache>
                <c:formatCode>0</c:formatCode>
                <c:ptCount val="20"/>
                <c:pt idx="0">
                  <c:v>56843.404599999958</c:v>
                </c:pt>
                <c:pt idx="1">
                  <c:v>30217.424790476169</c:v>
                </c:pt>
                <c:pt idx="2">
                  <c:v>21368.911862839861</c:v>
                </c:pt>
                <c:pt idx="3">
                  <c:v>16964.674659038992</c:v>
                </c:pt>
                <c:pt idx="4">
                  <c:v>14338.046486029707</c:v>
                </c:pt>
                <c:pt idx="5">
                  <c:v>12600.11526788497</c:v>
                </c:pt>
                <c:pt idx="6">
                  <c:v>11369.899403968848</c:v>
                </c:pt>
                <c:pt idx="7">
                  <c:v>10456.891834056649</c:v>
                </c:pt>
                <c:pt idx="8">
                  <c:v>9755.2414761522032</c:v>
                </c:pt>
                <c:pt idx="9">
                  <c:v>9201.4258693572174</c:v>
                </c:pt>
                <c:pt idx="10">
                  <c:v>8755.011520920265</c:v>
                </c:pt>
                <c:pt idx="11">
                  <c:v>8389.0341234017833</c:v>
                </c:pt>
                <c:pt idx="12">
                  <c:v>8084.8187054816235</c:v>
                </c:pt>
                <c:pt idx="13">
                  <c:v>7829.0197434653564</c:v>
                </c:pt>
                <c:pt idx="14">
                  <c:v>7611.8452460532008</c:v>
                </c:pt>
                <c:pt idx="15">
                  <c:v>7425.9468186821214</c:v>
                </c:pt>
                <c:pt idx="16">
                  <c:v>7265.701475591798</c:v>
                </c:pt>
                <c:pt idx="17">
                  <c:v>7126.7328487519699</c:v>
                </c:pt>
                <c:pt idx="18">
                  <c:v>7005.5835907329756</c:v>
                </c:pt>
                <c:pt idx="19">
                  <c:v>6899.486050017179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9185664"/>
        <c:axId val="88876544"/>
      </c:scatterChart>
      <c:valAx>
        <c:axId val="891856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CL"/>
                  <a:t>Periodo de  estudio</a:t>
                </a:r>
                <a:endParaRPr lang="es-CL" baseline="0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88876544"/>
        <c:crosses val="autoZero"/>
        <c:crossBetween val="midCat"/>
      </c:valAx>
      <c:valAx>
        <c:axId val="88876544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(M$/AÑO)</a:t>
                </a:r>
              </a:p>
            </c:rich>
          </c:tx>
          <c:layout>
            <c:manualLayout>
              <c:xMode val="edge"/>
              <c:yMode val="edge"/>
              <c:x val="7.4666662977716208E-2"/>
              <c:y val="7.0699905804645691E-2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crossAx val="89185664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4" workbookViewId="0" zoomToFit="1"/>
  </sheetViews>
  <sheetProtection password="C432" content="1" objects="1"/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4" workbookViewId="0" zoomToFit="1"/>
  </sheetViews>
  <sheetProtection password="C432" content="1" objects="1"/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4554" cy="6293304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74554" cy="6293304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0"/>
  <sheetViews>
    <sheetView tabSelected="1" zoomScale="73" zoomScaleNormal="73" workbookViewId="0">
      <selection activeCell="C32" sqref="C32"/>
    </sheetView>
  </sheetViews>
  <sheetFormatPr baseColWidth="10" defaultRowHeight="15" x14ac:dyDescent="0.25"/>
  <cols>
    <col min="2" max="2" width="29.7109375" customWidth="1"/>
    <col min="3" max="3" width="18.42578125" customWidth="1"/>
    <col min="4" max="4" width="11.7109375" customWidth="1"/>
    <col min="5" max="5" width="22.140625" customWidth="1"/>
    <col min="6" max="6" width="18.5703125" customWidth="1"/>
    <col min="8" max="8" width="18.5703125" customWidth="1"/>
    <col min="9" max="9" width="17.28515625" customWidth="1"/>
    <col min="12" max="12" width="17.7109375" customWidth="1"/>
    <col min="13" max="13" width="41.140625" customWidth="1"/>
  </cols>
  <sheetData>
    <row r="1" spans="1:13" x14ac:dyDescent="0.25">
      <c r="A1" s="1"/>
    </row>
    <row r="2" spans="1:13" ht="15.75" thickBot="1" x14ac:dyDescent="0.3">
      <c r="A2" s="1"/>
    </row>
    <row r="3" spans="1:13" ht="15.75" thickBot="1" x14ac:dyDescent="0.3">
      <c r="A3" s="1"/>
      <c r="B3" s="2" t="s">
        <v>0</v>
      </c>
      <c r="C3" s="50" t="s">
        <v>4</v>
      </c>
      <c r="D3" s="50"/>
      <c r="E3" s="2" t="s">
        <v>1</v>
      </c>
      <c r="F3" s="3" t="s">
        <v>56</v>
      </c>
      <c r="G3" s="18"/>
      <c r="H3" s="46" t="s">
        <v>45</v>
      </c>
      <c r="I3" s="47"/>
      <c r="J3" s="47"/>
      <c r="K3" s="47"/>
      <c r="L3" s="47"/>
      <c r="M3" s="48"/>
    </row>
    <row r="4" spans="1:13" ht="15.75" thickBot="1" x14ac:dyDescent="0.3">
      <c r="A4" s="1"/>
      <c r="B4" s="2" t="s">
        <v>2</v>
      </c>
      <c r="C4" s="50" t="s">
        <v>42</v>
      </c>
      <c r="D4" s="51"/>
      <c r="E4" s="2" t="s">
        <v>15</v>
      </c>
      <c r="F4" s="3">
        <v>40.32</v>
      </c>
      <c r="G4" s="17"/>
      <c r="H4" s="55" t="s">
        <v>57</v>
      </c>
      <c r="I4" s="56"/>
      <c r="J4" s="56"/>
      <c r="K4" s="56"/>
      <c r="L4" s="56"/>
      <c r="M4" s="57"/>
    </row>
    <row r="5" spans="1:13" x14ac:dyDescent="0.25">
      <c r="A5" s="1"/>
      <c r="B5" s="44" t="s">
        <v>19</v>
      </c>
      <c r="C5" s="49">
        <v>0.1</v>
      </c>
      <c r="D5" s="49"/>
      <c r="E5" s="4" t="s">
        <v>3</v>
      </c>
      <c r="F5" s="3">
        <v>2016</v>
      </c>
      <c r="G5" s="1"/>
      <c r="H5" s="53" t="s">
        <v>51</v>
      </c>
      <c r="I5" s="58" t="s">
        <v>53</v>
      </c>
      <c r="J5" s="58"/>
      <c r="K5" s="58"/>
      <c r="L5" s="42">
        <v>2476405</v>
      </c>
      <c r="M5" s="39"/>
    </row>
    <row r="6" spans="1:13" ht="15.75" thickBot="1" x14ac:dyDescent="0.3">
      <c r="E6" s="4" t="s">
        <v>5</v>
      </c>
      <c r="F6" s="5">
        <v>26150</v>
      </c>
      <c r="G6" s="1"/>
      <c r="H6" s="54"/>
      <c r="I6" s="59" t="s">
        <v>52</v>
      </c>
      <c r="J6" s="59"/>
      <c r="K6" s="59"/>
      <c r="L6" s="43">
        <v>0</v>
      </c>
      <c r="M6" s="39"/>
    </row>
    <row r="7" spans="1:13" x14ac:dyDescent="0.25">
      <c r="E7" s="8" t="s">
        <v>12</v>
      </c>
      <c r="F7" s="8">
        <v>15</v>
      </c>
    </row>
    <row r="10" spans="1:13" ht="19.5" thickBot="1" x14ac:dyDescent="0.35">
      <c r="B10" s="52" t="s">
        <v>6</v>
      </c>
      <c r="C10" s="52"/>
      <c r="E10" s="52" t="s">
        <v>7</v>
      </c>
      <c r="F10" s="52"/>
      <c r="H10" s="52" t="s">
        <v>11</v>
      </c>
      <c r="I10" s="52"/>
      <c r="J10" s="29"/>
      <c r="K10" s="52" t="s">
        <v>20</v>
      </c>
      <c r="L10" s="52"/>
      <c r="M10" s="52"/>
    </row>
    <row r="11" spans="1:13" ht="19.5" thickBot="1" x14ac:dyDescent="0.35">
      <c r="B11" s="12" t="s">
        <v>9</v>
      </c>
      <c r="C11" s="13">
        <f>SUM(C13:C50)</f>
        <v>50831416</v>
      </c>
      <c r="E11" s="12" t="s">
        <v>8</v>
      </c>
      <c r="F11" s="13">
        <f>SUM(F13:F50)</f>
        <v>0</v>
      </c>
      <c r="H11" s="12" t="s">
        <v>8</v>
      </c>
      <c r="I11" s="13">
        <f>SUM(I13:I50)</f>
        <v>928847</v>
      </c>
      <c r="K11" s="31" t="s">
        <v>21</v>
      </c>
      <c r="L11" s="31" t="s">
        <v>22</v>
      </c>
      <c r="M11" s="8" t="s">
        <v>23</v>
      </c>
    </row>
    <row r="12" spans="1:13" ht="15.75" thickBot="1" x14ac:dyDescent="0.3">
      <c r="B12" s="16" t="s">
        <v>10</v>
      </c>
      <c r="C12" s="38">
        <f>+C11/$F$6</f>
        <v>1943.84</v>
      </c>
      <c r="E12" s="16" t="s">
        <v>10</v>
      </c>
      <c r="F12" s="11">
        <f>+F11/$F$6</f>
        <v>0</v>
      </c>
      <c r="H12" s="16" t="s">
        <v>10</v>
      </c>
      <c r="I12" s="11">
        <f>+I11/$F$6</f>
        <v>35.519961759082221</v>
      </c>
      <c r="K12" s="14">
        <f>+F5</f>
        <v>2016</v>
      </c>
      <c r="L12" s="30"/>
      <c r="M12" s="10"/>
    </row>
    <row r="13" spans="1:13" x14ac:dyDescent="0.25">
      <c r="B13" s="7" t="s">
        <v>54</v>
      </c>
      <c r="C13" s="10">
        <v>50831416</v>
      </c>
      <c r="E13" s="8" t="s">
        <v>44</v>
      </c>
      <c r="F13" s="10">
        <v>0</v>
      </c>
      <c r="H13" s="8" t="s">
        <v>58</v>
      </c>
      <c r="I13" s="10">
        <v>263330</v>
      </c>
      <c r="K13" s="14">
        <f>IF((+$F$5+ROW()-12)&lt;=(+$F$5+$F$7),+(K12+1)," ")</f>
        <v>2017</v>
      </c>
      <c r="L13" s="30"/>
      <c r="M13" s="10"/>
    </row>
    <row r="14" spans="1:13" x14ac:dyDescent="0.25">
      <c r="B14" s="7" t="s">
        <v>55</v>
      </c>
      <c r="C14" s="10"/>
      <c r="E14" s="8"/>
      <c r="F14" s="10"/>
      <c r="H14" s="8" t="s">
        <v>43</v>
      </c>
      <c r="I14" s="10">
        <v>665517</v>
      </c>
      <c r="K14" s="14">
        <f t="shared" ref="K14:K32" si="0">IF((+$F$5+ROW()-12)&lt;=(+$F$5+$F$7),+(K13+1)," ")</f>
        <v>2018</v>
      </c>
      <c r="L14" s="30"/>
      <c r="M14" s="10"/>
    </row>
    <row r="15" spans="1:13" x14ac:dyDescent="0.25">
      <c r="B15" s="7"/>
      <c r="C15" s="10"/>
      <c r="E15" s="8"/>
      <c r="F15" s="10"/>
      <c r="H15" s="8"/>
      <c r="I15" s="10"/>
      <c r="K15" s="14">
        <f t="shared" si="0"/>
        <v>2019</v>
      </c>
      <c r="L15" s="30"/>
      <c r="M15" s="10"/>
    </row>
    <row r="16" spans="1:13" x14ac:dyDescent="0.25">
      <c r="B16" s="9"/>
      <c r="C16" s="10"/>
      <c r="D16" s="6"/>
      <c r="E16" s="15"/>
      <c r="F16" s="10"/>
      <c r="H16" s="15"/>
      <c r="I16" s="10"/>
      <c r="K16" s="14">
        <f t="shared" si="0"/>
        <v>2020</v>
      </c>
      <c r="L16" s="30"/>
      <c r="M16" s="10"/>
    </row>
    <row r="17" spans="2:13" x14ac:dyDescent="0.25">
      <c r="B17" s="7"/>
      <c r="C17" s="10"/>
      <c r="E17" s="8"/>
      <c r="F17" s="10"/>
      <c r="H17" s="8"/>
      <c r="I17" s="10"/>
      <c r="K17" s="14">
        <f t="shared" si="0"/>
        <v>2021</v>
      </c>
      <c r="L17" s="30"/>
      <c r="M17" s="10"/>
    </row>
    <row r="18" spans="2:13" x14ac:dyDescent="0.25">
      <c r="B18" s="7"/>
      <c r="C18" s="10"/>
      <c r="E18" s="8"/>
      <c r="F18" s="10"/>
      <c r="H18" s="8"/>
      <c r="I18" s="10"/>
      <c r="K18" s="14">
        <f t="shared" si="0"/>
        <v>2022</v>
      </c>
      <c r="L18" s="30"/>
      <c r="M18" s="10"/>
    </row>
    <row r="19" spans="2:13" x14ac:dyDescent="0.25">
      <c r="B19" s="7"/>
      <c r="C19" s="10"/>
      <c r="E19" s="8"/>
      <c r="F19" s="10"/>
      <c r="H19" s="8"/>
      <c r="I19" s="10"/>
      <c r="K19" s="14">
        <f t="shared" si="0"/>
        <v>2023</v>
      </c>
      <c r="L19" s="30"/>
      <c r="M19" s="10"/>
    </row>
    <row r="20" spans="2:13" x14ac:dyDescent="0.25">
      <c r="B20" s="7"/>
      <c r="C20" s="10"/>
      <c r="E20" s="8"/>
      <c r="F20" s="10"/>
      <c r="H20" s="8"/>
      <c r="I20" s="10"/>
      <c r="K20" s="14">
        <f t="shared" si="0"/>
        <v>2024</v>
      </c>
      <c r="L20" s="30"/>
      <c r="M20" s="10"/>
    </row>
    <row r="21" spans="2:13" x14ac:dyDescent="0.25">
      <c r="B21" s="7"/>
      <c r="C21" s="10"/>
      <c r="E21" s="8"/>
      <c r="F21" s="10"/>
      <c r="H21" s="8"/>
      <c r="I21" s="10"/>
      <c r="K21" s="14">
        <f t="shared" si="0"/>
        <v>2025</v>
      </c>
      <c r="L21" s="30"/>
      <c r="M21" s="10"/>
    </row>
    <row r="22" spans="2:13" x14ac:dyDescent="0.25">
      <c r="B22" s="7"/>
      <c r="C22" s="10"/>
      <c r="E22" s="8"/>
      <c r="F22" s="10"/>
      <c r="H22" s="8"/>
      <c r="I22" s="10"/>
      <c r="K22" s="14">
        <f t="shared" si="0"/>
        <v>2026</v>
      </c>
      <c r="L22" s="30"/>
      <c r="M22" s="10"/>
    </row>
    <row r="23" spans="2:13" x14ac:dyDescent="0.25">
      <c r="B23" s="7"/>
      <c r="C23" s="10"/>
      <c r="E23" s="8"/>
      <c r="F23" s="10"/>
      <c r="H23" s="8"/>
      <c r="I23" s="10"/>
      <c r="K23" s="14">
        <f t="shared" si="0"/>
        <v>2027</v>
      </c>
      <c r="L23" s="30"/>
      <c r="M23" s="10"/>
    </row>
    <row r="24" spans="2:13" x14ac:dyDescent="0.25">
      <c r="B24" s="7"/>
      <c r="C24" s="10"/>
      <c r="E24" s="8"/>
      <c r="F24" s="10"/>
      <c r="H24" s="8"/>
      <c r="I24" s="10"/>
      <c r="K24" s="14">
        <f t="shared" si="0"/>
        <v>2028</v>
      </c>
      <c r="L24" s="30"/>
      <c r="M24" s="10"/>
    </row>
    <row r="25" spans="2:13" x14ac:dyDescent="0.25">
      <c r="B25" s="7"/>
      <c r="C25" s="10"/>
      <c r="E25" s="8"/>
      <c r="F25" s="10"/>
      <c r="H25" s="8"/>
      <c r="I25" s="10"/>
      <c r="K25" s="14">
        <f t="shared" si="0"/>
        <v>2029</v>
      </c>
      <c r="L25" s="30"/>
      <c r="M25" s="10"/>
    </row>
    <row r="26" spans="2:13" x14ac:dyDescent="0.25">
      <c r="B26" s="7"/>
      <c r="C26" s="10"/>
      <c r="E26" s="8"/>
      <c r="F26" s="10"/>
      <c r="H26" s="8"/>
      <c r="I26" s="10"/>
      <c r="K26" s="14">
        <f t="shared" si="0"/>
        <v>2030</v>
      </c>
      <c r="L26" s="30"/>
      <c r="M26" s="10"/>
    </row>
    <row r="27" spans="2:13" x14ac:dyDescent="0.25">
      <c r="B27" s="7"/>
      <c r="C27" s="10"/>
      <c r="E27" s="8"/>
      <c r="F27" s="10"/>
      <c r="H27" s="8"/>
      <c r="I27" s="10"/>
      <c r="K27" s="14">
        <f t="shared" si="0"/>
        <v>2031</v>
      </c>
      <c r="L27" s="30"/>
      <c r="M27" s="10"/>
    </row>
    <row r="28" spans="2:13" x14ac:dyDescent="0.25">
      <c r="B28" s="7"/>
      <c r="C28" s="10"/>
      <c r="E28" s="8"/>
      <c r="F28" s="10"/>
      <c r="H28" s="8"/>
      <c r="I28" s="10"/>
      <c r="K28" s="14" t="str">
        <f t="shared" si="0"/>
        <v xml:space="preserve"> </v>
      </c>
      <c r="L28" s="30"/>
      <c r="M28" s="10"/>
    </row>
    <row r="29" spans="2:13" x14ac:dyDescent="0.25">
      <c r="B29" s="7"/>
      <c r="C29" s="10"/>
      <c r="E29" s="8"/>
      <c r="F29" s="10"/>
      <c r="H29" s="8"/>
      <c r="I29" s="10"/>
      <c r="K29" s="14" t="str">
        <f t="shared" si="0"/>
        <v xml:space="preserve"> </v>
      </c>
      <c r="L29" s="30"/>
      <c r="M29" s="10"/>
    </row>
    <row r="30" spans="2:13" x14ac:dyDescent="0.25">
      <c r="B30" s="7"/>
      <c r="C30" s="10"/>
      <c r="E30" s="8"/>
      <c r="F30" s="10"/>
      <c r="H30" s="8"/>
      <c r="I30" s="10"/>
      <c r="K30" s="14" t="str">
        <f t="shared" si="0"/>
        <v xml:space="preserve"> </v>
      </c>
      <c r="L30" s="30"/>
      <c r="M30" s="10"/>
    </row>
    <row r="31" spans="2:13" x14ac:dyDescent="0.25">
      <c r="B31" s="7"/>
      <c r="C31" s="10"/>
      <c r="E31" s="8"/>
      <c r="F31" s="10"/>
      <c r="H31" s="8"/>
      <c r="I31" s="10"/>
      <c r="K31" s="14" t="str">
        <f t="shared" si="0"/>
        <v xml:space="preserve"> </v>
      </c>
      <c r="L31" s="30"/>
      <c r="M31" s="10"/>
    </row>
    <row r="32" spans="2:13" x14ac:dyDescent="0.25">
      <c r="B32" s="7"/>
      <c r="C32" s="10"/>
      <c r="E32" s="8"/>
      <c r="F32" s="10"/>
      <c r="H32" s="8"/>
      <c r="I32" s="10"/>
      <c r="K32" s="14" t="str">
        <f t="shared" si="0"/>
        <v xml:space="preserve"> </v>
      </c>
      <c r="L32" s="30"/>
      <c r="M32" s="10"/>
    </row>
    <row r="33" spans="2:13" x14ac:dyDescent="0.25">
      <c r="B33" s="7"/>
      <c r="C33" s="10"/>
      <c r="E33" s="8"/>
      <c r="F33" s="10"/>
      <c r="H33" s="8"/>
      <c r="I33" s="10"/>
      <c r="K33" s="14" t="str">
        <f t="shared" ref="K33:K50" si="1">IF((+$F$5+ROW()-12)&lt;=(+$F$5+$F$7),+(K32+1)," ")</f>
        <v xml:space="preserve"> </v>
      </c>
      <c r="L33" s="30"/>
      <c r="M33" s="10"/>
    </row>
    <row r="34" spans="2:13" x14ac:dyDescent="0.25">
      <c r="B34" s="7"/>
      <c r="C34" s="10"/>
      <c r="E34" s="8"/>
      <c r="F34" s="10"/>
      <c r="H34" s="8"/>
      <c r="I34" s="10"/>
      <c r="K34" s="14" t="str">
        <f t="shared" si="1"/>
        <v xml:space="preserve"> </v>
      </c>
      <c r="L34" s="30"/>
      <c r="M34" s="10"/>
    </row>
    <row r="35" spans="2:13" x14ac:dyDescent="0.25">
      <c r="B35" s="7"/>
      <c r="C35" s="10"/>
      <c r="E35" s="8"/>
      <c r="F35" s="10"/>
      <c r="H35" s="8"/>
      <c r="I35" s="10"/>
      <c r="K35" s="14" t="str">
        <f t="shared" si="1"/>
        <v xml:space="preserve"> </v>
      </c>
      <c r="L35" s="30"/>
      <c r="M35" s="10"/>
    </row>
    <row r="36" spans="2:13" x14ac:dyDescent="0.25">
      <c r="B36" s="7"/>
      <c r="C36" s="10"/>
      <c r="E36" s="8"/>
      <c r="F36" s="10"/>
      <c r="H36" s="8"/>
      <c r="I36" s="10"/>
      <c r="K36" s="14" t="str">
        <f t="shared" si="1"/>
        <v xml:space="preserve"> </v>
      </c>
      <c r="L36" s="30"/>
      <c r="M36" s="10"/>
    </row>
    <row r="37" spans="2:13" x14ac:dyDescent="0.25">
      <c r="B37" s="7"/>
      <c r="C37" s="10"/>
      <c r="E37" s="8"/>
      <c r="F37" s="10"/>
      <c r="H37" s="8"/>
      <c r="I37" s="10"/>
      <c r="K37" s="14" t="str">
        <f t="shared" si="1"/>
        <v xml:space="preserve"> </v>
      </c>
      <c r="L37" s="30"/>
      <c r="M37" s="10"/>
    </row>
    <row r="38" spans="2:13" x14ac:dyDescent="0.25">
      <c r="B38" s="7"/>
      <c r="C38" s="10"/>
      <c r="E38" s="8"/>
      <c r="F38" s="10"/>
      <c r="H38" s="8"/>
      <c r="I38" s="10"/>
      <c r="K38" s="14" t="str">
        <f t="shared" si="1"/>
        <v xml:space="preserve"> </v>
      </c>
      <c r="L38" s="30"/>
      <c r="M38" s="10"/>
    </row>
    <row r="39" spans="2:13" x14ac:dyDescent="0.25">
      <c r="B39" s="7"/>
      <c r="C39" s="10"/>
      <c r="E39" s="8"/>
      <c r="F39" s="10"/>
      <c r="H39" s="8"/>
      <c r="I39" s="10"/>
      <c r="K39" s="14" t="str">
        <f t="shared" si="1"/>
        <v xml:space="preserve"> </v>
      </c>
      <c r="L39" s="30"/>
      <c r="M39" s="10"/>
    </row>
    <row r="40" spans="2:13" x14ac:dyDescent="0.25">
      <c r="B40" s="7"/>
      <c r="C40" s="10"/>
      <c r="E40" s="8"/>
      <c r="F40" s="10"/>
      <c r="H40" s="8"/>
      <c r="I40" s="10"/>
      <c r="K40" s="14" t="str">
        <f t="shared" si="1"/>
        <v xml:space="preserve"> </v>
      </c>
      <c r="L40" s="30"/>
      <c r="M40" s="10"/>
    </row>
    <row r="41" spans="2:13" x14ac:dyDescent="0.25">
      <c r="B41" s="7"/>
      <c r="C41" s="10"/>
      <c r="E41" s="8"/>
      <c r="F41" s="10"/>
      <c r="H41" s="8"/>
      <c r="I41" s="10"/>
      <c r="K41" s="14" t="str">
        <f t="shared" si="1"/>
        <v xml:space="preserve"> </v>
      </c>
      <c r="L41" s="30"/>
      <c r="M41" s="10"/>
    </row>
    <row r="42" spans="2:13" x14ac:dyDescent="0.25">
      <c r="B42" s="7"/>
      <c r="C42" s="10"/>
      <c r="E42" s="8"/>
      <c r="F42" s="10"/>
      <c r="H42" s="8"/>
      <c r="I42" s="10"/>
      <c r="K42" s="14" t="str">
        <f t="shared" si="1"/>
        <v xml:space="preserve"> </v>
      </c>
      <c r="L42" s="30"/>
      <c r="M42" s="10"/>
    </row>
    <row r="43" spans="2:13" x14ac:dyDescent="0.25">
      <c r="B43" s="7"/>
      <c r="C43" s="10"/>
      <c r="E43" s="8"/>
      <c r="F43" s="10"/>
      <c r="H43" s="8"/>
      <c r="I43" s="10"/>
      <c r="K43" s="14" t="str">
        <f t="shared" si="1"/>
        <v xml:space="preserve"> </v>
      </c>
      <c r="L43" s="30"/>
      <c r="M43" s="10"/>
    </row>
    <row r="44" spans="2:13" x14ac:dyDescent="0.25">
      <c r="B44" s="7"/>
      <c r="C44" s="10"/>
      <c r="E44" s="8"/>
      <c r="F44" s="10"/>
      <c r="H44" s="8"/>
      <c r="I44" s="10"/>
      <c r="K44" s="14" t="str">
        <f t="shared" si="1"/>
        <v xml:space="preserve"> </v>
      </c>
      <c r="L44" s="30"/>
      <c r="M44" s="10"/>
    </row>
    <row r="45" spans="2:13" x14ac:dyDescent="0.25">
      <c r="B45" s="7"/>
      <c r="C45" s="10"/>
      <c r="E45" s="8"/>
      <c r="F45" s="10"/>
      <c r="H45" s="8"/>
      <c r="I45" s="10"/>
      <c r="K45" s="14" t="str">
        <f t="shared" si="1"/>
        <v xml:space="preserve"> </v>
      </c>
      <c r="L45" s="30"/>
      <c r="M45" s="10"/>
    </row>
    <row r="46" spans="2:13" x14ac:dyDescent="0.25">
      <c r="B46" s="7"/>
      <c r="C46" s="10"/>
      <c r="E46" s="8"/>
      <c r="F46" s="10"/>
      <c r="H46" s="8"/>
      <c r="I46" s="10"/>
      <c r="K46" s="14" t="str">
        <f t="shared" si="1"/>
        <v xml:space="preserve"> </v>
      </c>
      <c r="L46" s="30"/>
      <c r="M46" s="10"/>
    </row>
    <row r="47" spans="2:13" x14ac:dyDescent="0.25">
      <c r="B47" s="7"/>
      <c r="C47" s="10"/>
      <c r="E47" s="8"/>
      <c r="F47" s="10"/>
      <c r="H47" s="8"/>
      <c r="I47" s="10"/>
      <c r="K47" s="14" t="str">
        <f t="shared" si="1"/>
        <v xml:space="preserve"> </v>
      </c>
      <c r="L47" s="30"/>
      <c r="M47" s="10"/>
    </row>
    <row r="48" spans="2:13" x14ac:dyDescent="0.25">
      <c r="B48" s="7"/>
      <c r="C48" s="10"/>
      <c r="E48" s="8"/>
      <c r="F48" s="10"/>
      <c r="H48" s="8"/>
      <c r="I48" s="10"/>
      <c r="K48" s="14" t="str">
        <f t="shared" si="1"/>
        <v xml:space="preserve"> </v>
      </c>
      <c r="L48" s="30"/>
      <c r="M48" s="10"/>
    </row>
    <row r="49" spans="2:13" x14ac:dyDescent="0.25">
      <c r="B49" s="7"/>
      <c r="C49" s="10"/>
      <c r="E49" s="8"/>
      <c r="F49" s="10"/>
      <c r="H49" s="8"/>
      <c r="I49" s="10"/>
      <c r="K49" s="14" t="str">
        <f t="shared" si="1"/>
        <v xml:space="preserve"> </v>
      </c>
      <c r="L49" s="30"/>
      <c r="M49" s="10"/>
    </row>
    <row r="50" spans="2:13" x14ac:dyDescent="0.25">
      <c r="B50" s="7"/>
      <c r="C50" s="10"/>
      <c r="E50" s="8"/>
      <c r="F50" s="10"/>
      <c r="H50" s="8"/>
      <c r="I50" s="10"/>
      <c r="K50" s="14" t="str">
        <f t="shared" si="1"/>
        <v xml:space="preserve"> </v>
      </c>
      <c r="L50" s="30"/>
      <c r="M50" s="10"/>
    </row>
  </sheetData>
  <mergeCells count="12">
    <mergeCell ref="H3:M3"/>
    <mergeCell ref="C5:D5"/>
    <mergeCell ref="C3:D3"/>
    <mergeCell ref="C4:D4"/>
    <mergeCell ref="B10:C10"/>
    <mergeCell ref="E10:F10"/>
    <mergeCell ref="H5:H6"/>
    <mergeCell ref="H4:M4"/>
    <mergeCell ref="I5:K5"/>
    <mergeCell ref="I6:K6"/>
    <mergeCell ref="K10:M10"/>
    <mergeCell ref="H10:I10"/>
  </mergeCells>
  <pageMargins left="0.7" right="0.7" top="0.75" bottom="0.75" header="0.3" footer="0.3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P39"/>
  <sheetViews>
    <sheetView zoomScale="77" zoomScaleNormal="77" workbookViewId="0">
      <selection activeCell="C24" sqref="C24"/>
    </sheetView>
  </sheetViews>
  <sheetFormatPr baseColWidth="10" defaultRowHeight="15" x14ac:dyDescent="0.25"/>
  <cols>
    <col min="2" max="2" width="24.28515625" customWidth="1"/>
    <col min="3" max="3" width="13.7109375" customWidth="1"/>
    <col min="5" max="5" width="13.5703125" customWidth="1"/>
    <col min="6" max="6" width="12.7109375" bestFit="1" customWidth="1"/>
    <col min="9" max="9" width="9.28515625" customWidth="1"/>
    <col min="10" max="10" width="14.140625" customWidth="1"/>
    <col min="11" max="11" width="15.140625" customWidth="1"/>
    <col min="12" max="12" width="13.5703125" customWidth="1"/>
    <col min="13" max="13" width="14.140625" bestFit="1" customWidth="1"/>
    <col min="14" max="14" width="14.5703125" bestFit="1" customWidth="1"/>
    <col min="15" max="15" width="13.5703125" customWidth="1"/>
    <col min="16" max="16" width="14.85546875" customWidth="1"/>
  </cols>
  <sheetData>
    <row r="2" spans="1:16" ht="18.75" x14ac:dyDescent="0.3">
      <c r="B2" s="26" t="str">
        <f>+datos!B3</f>
        <v>Nombre:</v>
      </c>
      <c r="C2" s="61" t="str">
        <f>+datos!C3</f>
        <v>Juan Pérez Pérez</v>
      </c>
      <c r="D2" s="62"/>
      <c r="E2" s="26" t="str">
        <f>+datos!E3</f>
        <v>Cultivo:</v>
      </c>
      <c r="F2" s="26" t="str">
        <f>+datos!F3</f>
        <v>papa</v>
      </c>
      <c r="H2" s="60" t="s">
        <v>18</v>
      </c>
      <c r="I2" s="60"/>
      <c r="J2" s="60"/>
      <c r="K2" s="60"/>
      <c r="L2" s="60"/>
      <c r="M2" s="60"/>
      <c r="N2" s="60"/>
      <c r="O2" s="60"/>
    </row>
    <row r="3" spans="1:16" x14ac:dyDescent="0.25">
      <c r="B3" s="26" t="str">
        <f>+datos!B4</f>
        <v>Rut:</v>
      </c>
      <c r="C3" s="61" t="str">
        <f>+datos!C4</f>
        <v>11,111,111-1</v>
      </c>
      <c r="D3" s="62"/>
      <c r="E3" s="26" t="str">
        <f>+datos!E4</f>
        <v>Superficie (Ha)</v>
      </c>
      <c r="F3" s="26">
        <f>+datos!F4</f>
        <v>40.32</v>
      </c>
      <c r="L3" s="63" t="s">
        <v>48</v>
      </c>
      <c r="M3" s="63"/>
      <c r="O3" s="63" t="s">
        <v>47</v>
      </c>
      <c r="P3" s="63"/>
    </row>
    <row r="4" spans="1:16" x14ac:dyDescent="0.25">
      <c r="B4" s="26" t="str">
        <f>+datos!B5</f>
        <v>Tasa de interés anual (%)</v>
      </c>
      <c r="C4" s="27">
        <f>+datos!C5</f>
        <v>0.1</v>
      </c>
      <c r="D4" s="61" t="str">
        <f>+datos!E5</f>
        <v xml:space="preserve">Año </v>
      </c>
      <c r="E4" s="61"/>
      <c r="F4" s="26">
        <f>+datos!F5</f>
        <v>2016</v>
      </c>
      <c r="I4" t="s">
        <v>13</v>
      </c>
      <c r="J4" t="s">
        <v>14</v>
      </c>
      <c r="K4" t="s">
        <v>16</v>
      </c>
      <c r="L4" s="45" t="s">
        <v>49</v>
      </c>
      <c r="M4" s="45" t="s">
        <v>50</v>
      </c>
      <c r="N4" t="s">
        <v>17</v>
      </c>
      <c r="O4" s="45" t="s">
        <v>49</v>
      </c>
      <c r="P4" s="45" t="s">
        <v>50</v>
      </c>
    </row>
    <row r="5" spans="1:16" x14ac:dyDescent="0.25">
      <c r="B5" s="28"/>
      <c r="C5" s="28"/>
      <c r="D5" s="61" t="str">
        <f>+datos!E6</f>
        <v>U.F.</v>
      </c>
      <c r="E5" s="61"/>
      <c r="F5" s="40">
        <f>+datos!F6</f>
        <v>26150</v>
      </c>
      <c r="H5">
        <v>0</v>
      </c>
      <c r="I5">
        <f>+F4</f>
        <v>2016</v>
      </c>
      <c r="J5" s="25">
        <f>+datos!C11</f>
        <v>50831416</v>
      </c>
    </row>
    <row r="6" spans="1:16" x14ac:dyDescent="0.25">
      <c r="B6" s="28"/>
      <c r="C6" s="28"/>
      <c r="D6" s="61" t="str">
        <f>+datos!E7</f>
        <v>Periodo estudio (años)</v>
      </c>
      <c r="E6" s="61"/>
      <c r="F6" s="26">
        <f>+datos!F7</f>
        <v>15</v>
      </c>
      <c r="H6">
        <v>1</v>
      </c>
      <c r="I6">
        <f>IF((+$I$5+ROW()-5)&lt;=(+$I$5+$F$6),+(I5+1)," ")</f>
        <v>2017</v>
      </c>
      <c r="K6" s="25">
        <f>IF((+$I$5+ROW()-5)&lt;=(+$I$5+$F$6),+(+datos!$I$11)," ")</f>
        <v>928847</v>
      </c>
      <c r="L6" s="25" t="str">
        <f>IF((I6&lt;&gt;" ")*AND(VLOOKUP(I6,datos!K:L,2,FALSE)&lt;&gt;0),VLOOKUP(I6,datos!K:L,2,FALSE)," ")</f>
        <v xml:space="preserve"> </v>
      </c>
      <c r="M6" s="25" t="str">
        <f>IF(((I6&lt;&gt;" ")*AND(L6&lt;&gt;" ")),+L6/(1+$C$4)^(I6-$I$5)," ")</f>
        <v xml:space="preserve"> </v>
      </c>
      <c r="N6" s="20" t="str">
        <f>IF((+$I$5+ROW()-5)=(+$I$5+$F$6),-(+datos!$F$11)," ")</f>
        <v xml:space="preserve"> </v>
      </c>
      <c r="O6" s="25">
        <f>IF((+$I$5+ROW()-5)&lt;=(+$I$5+$F$6),+(+datos!$L$5*(1+datos!$L$6)^H5)," ")</f>
        <v>2476405</v>
      </c>
      <c r="P6" s="25">
        <f t="shared" ref="P6:P24" si="0">IF(((I6&lt;&gt;" ")*AND(O6&lt;&gt;" ")),+O6/(1+$C$4)^(I6-$I$5)," ")</f>
        <v>2251277.2727272725</v>
      </c>
    </row>
    <row r="7" spans="1:16" x14ac:dyDescent="0.25">
      <c r="H7">
        <v>2</v>
      </c>
      <c r="I7">
        <f t="shared" ref="I7:I37" si="1">IF((+$I$5+ROW()-5)&lt;=(+$I$5+$F$6),+(I6+1)," ")</f>
        <v>2018</v>
      </c>
      <c r="K7" s="25">
        <f>IF((+$I$5+ROW()-5)&lt;=(+$I$5+$F$6),+(+datos!$I$11)," ")</f>
        <v>928847</v>
      </c>
      <c r="L7" s="25" t="str">
        <f>IF((I7&lt;&gt;" ")*AND(VLOOKUP(I7,datos!K:L,2,FALSE)&lt;&gt;0),VLOOKUP(I7,datos!K:L,2,FALSE)," ")</f>
        <v xml:space="preserve"> </v>
      </c>
      <c r="M7" s="25" t="str">
        <f>IF(((I7&lt;&gt;" ")*AND(L7&lt;&gt;" ")),+L7/(1+$C$4)^(I7-$I$5)," ")</f>
        <v xml:space="preserve"> </v>
      </c>
      <c r="N7" s="20" t="str">
        <f>IF((+$I$5+ROW()-5)=(+$I$5+$F$6),-(+datos!$F$11)," ")</f>
        <v xml:space="preserve"> </v>
      </c>
      <c r="O7" s="25">
        <f>IF((+$I$5+ROW()-5)&lt;=(+$I$5+$F$6),+(+datos!$L$5*(1+datos!$L$6)^H6)," ")</f>
        <v>2476405</v>
      </c>
      <c r="P7" s="25">
        <f t="shared" si="0"/>
        <v>2046615.7024793385</v>
      </c>
    </row>
    <row r="8" spans="1:16" x14ac:dyDescent="0.25">
      <c r="H8">
        <v>3</v>
      </c>
      <c r="I8">
        <f t="shared" si="1"/>
        <v>2019</v>
      </c>
      <c r="K8" s="25">
        <f>IF((+$I$5+ROW()-5)&lt;=(+$I$5+$F$6),+(+datos!$I$11)," ")</f>
        <v>928847</v>
      </c>
      <c r="L8" s="25" t="str">
        <f>IF((I8&lt;&gt;" ")*AND(VLOOKUP(I8,datos!K:L,2,FALSE)&lt;&gt;0),VLOOKUP(I8,datos!K:L,2,FALSE)," ")</f>
        <v xml:space="preserve"> </v>
      </c>
      <c r="M8" s="25" t="str">
        <f t="shared" ref="M8:M25" si="2">IF(((I8&lt;&gt;" ")*AND(L8&lt;&gt;" ")),+L8/(1+$C$4)^(I8-$I$5)," ")</f>
        <v xml:space="preserve"> </v>
      </c>
      <c r="N8" s="20" t="str">
        <f>IF((+$I$5+ROW()-5)=(+$I$5+$F$6),-(+datos!$F$11)," ")</f>
        <v xml:space="preserve"> </v>
      </c>
      <c r="O8" s="25">
        <f>IF((+$I$5+ROW()-5)&lt;=(+$I$5+$F$6),+(+datos!$L$5*(1+datos!$L$6)^H7)," ")</f>
        <v>2476405</v>
      </c>
      <c r="P8" s="25">
        <f t="shared" si="0"/>
        <v>1860559.7295266711</v>
      </c>
    </row>
    <row r="9" spans="1:16" x14ac:dyDescent="0.25">
      <c r="B9" s="22" t="str">
        <f>CONCATENATE("(A/P, ",+($C$4*100),"% , ",+$F$6," ) = ")</f>
        <v xml:space="preserve">(A/P, 10% , 15 ) = </v>
      </c>
      <c r="C9" s="23">
        <f>+(($C$4*(1+$C$4)^$F$6)/((1+$C$4)^$F$6-1))</f>
        <v>0.13147377688737219</v>
      </c>
      <c r="F9" s="19"/>
      <c r="H9">
        <v>4</v>
      </c>
      <c r="I9">
        <f t="shared" si="1"/>
        <v>2020</v>
      </c>
      <c r="K9" s="25">
        <f>IF((+$I$5+ROW()-5)&lt;=(+$I$5+$F$6),+(+datos!$I$11)," ")</f>
        <v>928847</v>
      </c>
      <c r="L9" s="25" t="str">
        <f>IF((I9&lt;&gt;" ")*AND(VLOOKUP(I9,datos!K:L,2,FALSE)&lt;&gt;0),VLOOKUP(I9,datos!K:L,2,FALSE)," ")</f>
        <v xml:space="preserve"> </v>
      </c>
      <c r="M9" s="25" t="str">
        <f t="shared" si="2"/>
        <v xml:space="preserve"> </v>
      </c>
      <c r="N9" s="20" t="str">
        <f>IF((+$I$5+ROW()-5)=(+$I$5+$F$6),-(+datos!$F$11)," ")</f>
        <v xml:space="preserve"> </v>
      </c>
      <c r="O9" s="25">
        <f>IF((+$I$5+ROW()-5)&lt;=(+$I$5+$F$6),+(+datos!$L$5*(1+datos!$L$6)^H8)," ")</f>
        <v>2476405</v>
      </c>
      <c r="P9" s="25">
        <f t="shared" si="0"/>
        <v>1691417.9359333373</v>
      </c>
    </row>
    <row r="10" spans="1:16" x14ac:dyDescent="0.25">
      <c r="H10">
        <v>5</v>
      </c>
      <c r="I10">
        <f t="shared" si="1"/>
        <v>2021</v>
      </c>
      <c r="K10" s="25">
        <f>IF((+$I$5+ROW()-5)&lt;=(+$I$5+$F$6),+(+datos!$I$11)," ")</f>
        <v>928847</v>
      </c>
      <c r="L10" s="25" t="str">
        <f>IF((I10&lt;&gt;" ")*AND(VLOOKUP(I10,datos!K:L,2,FALSE)&lt;&gt;0),VLOOKUP(I10,datos!K:L,2,FALSE)," ")</f>
        <v xml:space="preserve"> </v>
      </c>
      <c r="M10" s="25" t="str">
        <f t="shared" si="2"/>
        <v xml:space="preserve"> </v>
      </c>
      <c r="N10" s="20" t="str">
        <f>IF((+$I$5+ROW()-5)=(+$I$5+$F$6),-(+datos!$F$11)," ")</f>
        <v xml:space="preserve"> </v>
      </c>
      <c r="O10" s="25">
        <f>IF((+$I$5+ROW()-5)&lt;=(+$I$5+$F$6),+(+datos!$L$5*(1+datos!$L$6)^H9)," ")</f>
        <v>2476405</v>
      </c>
      <c r="P10" s="25">
        <f t="shared" si="0"/>
        <v>1537652.6690303066</v>
      </c>
    </row>
    <row r="11" spans="1:16" x14ac:dyDescent="0.25">
      <c r="B11" s="22" t="str">
        <f>CONCATENATE("(A/F, ",+($C$4*100),"% , ",+$F$6," ) = ")</f>
        <v xml:space="preserve">(A/F, 10% , 15 ) = </v>
      </c>
      <c r="C11" s="23">
        <f>+($C$4/((1+$C$4)^$F$6-1))</f>
        <v>3.1473776887372178E-2</v>
      </c>
      <c r="H11">
        <v>6</v>
      </c>
      <c r="I11">
        <f t="shared" si="1"/>
        <v>2022</v>
      </c>
      <c r="K11" s="25">
        <f>IF((+$I$5+ROW()-5)&lt;=(+$I$5+$F$6),+(+datos!$I$11)," ")</f>
        <v>928847</v>
      </c>
      <c r="L11" s="25" t="str">
        <f>IF((I11&lt;&gt;" ")*AND(VLOOKUP(I11,datos!K:L,2,FALSE)&lt;&gt;0),VLOOKUP(I11,datos!K:L,2,FALSE)," ")</f>
        <v xml:space="preserve"> </v>
      </c>
      <c r="M11" s="25" t="str">
        <f t="shared" si="2"/>
        <v xml:space="preserve"> </v>
      </c>
      <c r="N11" s="20" t="str">
        <f>IF((+$I$5+ROW()-5)=(+$I$5+$F$6),-(+datos!$F$11)," ")</f>
        <v xml:space="preserve"> </v>
      </c>
      <c r="O11" s="25">
        <f>IF((+$I$5+ROW()-5)&lt;=(+$I$5+$F$6),+(+datos!$L$5*(1+datos!$L$6)^H10)," ")</f>
        <v>2476405</v>
      </c>
      <c r="P11" s="25">
        <f t="shared" si="0"/>
        <v>1397866.0627548241</v>
      </c>
    </row>
    <row r="12" spans="1:16" x14ac:dyDescent="0.25">
      <c r="H12">
        <v>7</v>
      </c>
      <c r="I12">
        <f t="shared" si="1"/>
        <v>2023</v>
      </c>
      <c r="K12" s="25">
        <f>IF((+$I$5+ROW()-5)&lt;=(+$I$5+$F$6),+(+datos!$I$11)," ")</f>
        <v>928847</v>
      </c>
      <c r="L12" s="25" t="str">
        <f>IF((I12&lt;&gt;" ")*AND(VLOOKUP(I12,datos!K:L,2,FALSE)&lt;&gt;0),VLOOKUP(I12,datos!K:L,2,FALSE)," ")</f>
        <v xml:space="preserve"> </v>
      </c>
      <c r="M12" s="25" t="str">
        <f t="shared" si="2"/>
        <v xml:space="preserve"> </v>
      </c>
      <c r="N12" s="20" t="str">
        <f>IF((+$I$5+ROW()-5)=(+$I$5+$F$6),-(+datos!$F$11)," ")</f>
        <v xml:space="preserve"> </v>
      </c>
      <c r="O12" s="25">
        <f>IF((+$I$5+ROW()-5)&lt;=(+$I$5+$F$6),+(+datos!$L$5*(1+datos!$L$6)^H11)," ")</f>
        <v>2476405</v>
      </c>
      <c r="P12" s="25">
        <f t="shared" si="0"/>
        <v>1270787.3297771127</v>
      </c>
    </row>
    <row r="13" spans="1:16" x14ac:dyDescent="0.25">
      <c r="H13">
        <v>8</v>
      </c>
      <c r="I13">
        <f t="shared" si="1"/>
        <v>2024</v>
      </c>
      <c r="K13" s="25">
        <f>IF((+$I$5+ROW()-5)&lt;=(+$I$5+$F$6),+(+datos!$I$11)," ")</f>
        <v>928847</v>
      </c>
      <c r="L13" s="25" t="str">
        <f>IF((I13&lt;&gt;" ")*AND(VLOOKUP(I13,datos!K:L,2,FALSE)&lt;&gt;0),VLOOKUP(I13,datos!K:L,2,FALSE)," ")</f>
        <v xml:space="preserve"> </v>
      </c>
      <c r="M13" s="25" t="str">
        <f t="shared" si="2"/>
        <v xml:space="preserve"> </v>
      </c>
      <c r="N13" s="20" t="str">
        <f>IF((+$I$5+ROW()-5)=(+$I$5+$F$6),-(+datos!$F$11)," ")</f>
        <v xml:space="preserve"> </v>
      </c>
      <c r="O13" s="25">
        <f>IF((+$I$5+ROW()-5)&lt;=(+$I$5+$F$6),+(+datos!$L$5*(1+datos!$L$6)^H12)," ")</f>
        <v>2476405</v>
      </c>
      <c r="P13" s="25">
        <f t="shared" si="0"/>
        <v>1155261.2088882842</v>
      </c>
    </row>
    <row r="14" spans="1:16" x14ac:dyDescent="0.25">
      <c r="H14">
        <v>9</v>
      </c>
      <c r="I14">
        <f t="shared" si="1"/>
        <v>2025</v>
      </c>
      <c r="K14" s="25">
        <f>IF((+$I$5+ROW()-5)&lt;=(+$I$5+$F$6),+(+datos!$I$11)," ")</f>
        <v>928847</v>
      </c>
      <c r="L14" s="25" t="str">
        <f>IF((I14&lt;&gt;" ")*AND(VLOOKUP(I14,datos!K:L,2,FALSE)&lt;&gt;0),VLOOKUP(I14,datos!K:L,2,FALSE)," ")</f>
        <v xml:space="preserve"> </v>
      </c>
      <c r="M14" s="25" t="str">
        <f t="shared" si="2"/>
        <v xml:space="preserve"> </v>
      </c>
      <c r="N14" s="20" t="str">
        <f>IF((+$I$5+ROW()-5)=(+$I$5+$F$6),-(+datos!$F$11)," ")</f>
        <v xml:space="preserve"> </v>
      </c>
      <c r="O14" s="25">
        <f>IF((+$I$5+ROW()-5)&lt;=(+$I$5+$F$6),+(+datos!$L$5*(1+datos!$L$6)^H13)," ")</f>
        <v>2476405</v>
      </c>
      <c r="P14" s="25">
        <f t="shared" si="0"/>
        <v>1050237.4626257129</v>
      </c>
    </row>
    <row r="15" spans="1:16" ht="15.75" thickBot="1" x14ac:dyDescent="0.3">
      <c r="H15">
        <v>10</v>
      </c>
      <c r="I15">
        <f t="shared" si="1"/>
        <v>2026</v>
      </c>
      <c r="K15" s="25">
        <f>IF((+$I$5+ROW()-5)&lt;=(+$I$5+$F$6),+(+datos!$I$11)," ")</f>
        <v>928847</v>
      </c>
      <c r="L15" s="25" t="str">
        <f>IF((I15&lt;&gt;" ")*AND(VLOOKUP(I15,datos!K:L,2,FALSE)&lt;&gt;0),VLOOKUP(I15,datos!K:L,2,FALSE)," ")</f>
        <v xml:space="preserve"> </v>
      </c>
      <c r="M15" s="25" t="str">
        <f t="shared" si="2"/>
        <v xml:space="preserve"> </v>
      </c>
      <c r="N15" s="20" t="str">
        <f>IF((+$I$5+ROW()-5)=(+$I$5+$F$6),-(+datos!$F$11)," ")</f>
        <v xml:space="preserve"> </v>
      </c>
      <c r="O15" s="25">
        <f>IF((+$I$5+ROW()-5)&lt;=(+$I$5+$F$6),+(+datos!$L$5*(1+datos!$L$6)^H14)," ")</f>
        <v>2476405</v>
      </c>
      <c r="P15" s="25">
        <f>IF(((I15&lt;&gt;" ")*AND(O15&lt;&gt;" ")),+O15/(1+$C$4)^(I15-$I$5)," ")</f>
        <v>954761.32965973893</v>
      </c>
    </row>
    <row r="16" spans="1:16" ht="18.75" x14ac:dyDescent="0.3">
      <c r="A16" s="66" t="s">
        <v>46</v>
      </c>
      <c r="B16" s="67"/>
      <c r="C16" s="68">
        <f>+(J5/F3/1000)</f>
        <v>1260.6998015873016</v>
      </c>
      <c r="D16" s="69"/>
      <c r="E16" s="37"/>
      <c r="H16">
        <v>11</v>
      </c>
      <c r="I16">
        <f t="shared" si="1"/>
        <v>2027</v>
      </c>
      <c r="K16" s="25">
        <f>IF((+$I$5+ROW()-5)&lt;=(+$I$5+$F$6),+(+datos!$I$11)," ")</f>
        <v>928847</v>
      </c>
      <c r="L16" s="25" t="str">
        <f>IF((I16&lt;&gt;" ")*AND(VLOOKUP(I16,datos!K:L,2,FALSE)&lt;&gt;0),VLOOKUP(I16,datos!K:L,2,FALSE)," ")</f>
        <v xml:space="preserve"> </v>
      </c>
      <c r="M16" s="25" t="str">
        <f t="shared" si="2"/>
        <v xml:space="preserve"> </v>
      </c>
      <c r="N16" s="20" t="str">
        <f>IF((+$I$5+ROW()-5)=(+$I$5+$F$6),-(+datos!$F$11)," ")</f>
        <v xml:space="preserve"> </v>
      </c>
      <c r="O16" s="25">
        <f>IF((+$I$5+ROW()-5)&lt;=(+$I$5+$F$6),+(+datos!$L$5*(1+datos!$L$6)^H15)," ")</f>
        <v>2476405</v>
      </c>
      <c r="P16" s="25">
        <f t="shared" si="0"/>
        <v>867964.84514521703</v>
      </c>
    </row>
    <row r="17" spans="1:16" ht="18.75" x14ac:dyDescent="0.3">
      <c r="A17" s="72" t="s">
        <v>46</v>
      </c>
      <c r="B17" s="52"/>
      <c r="C17" s="70">
        <f>+C16*1000/F5</f>
        <v>48.210317460317455</v>
      </c>
      <c r="D17" s="71"/>
      <c r="E17" s="41"/>
      <c r="H17">
        <v>12</v>
      </c>
      <c r="I17">
        <f t="shared" si="1"/>
        <v>2028</v>
      </c>
      <c r="K17" s="25">
        <f>IF((+$I$5+ROW()-5)&lt;=(+$I$5+$F$6),+(+datos!$I$11)," ")</f>
        <v>928847</v>
      </c>
      <c r="L17" s="25" t="str">
        <f>IF((I17&lt;&gt;" ")*AND(VLOOKUP(I17,datos!K:L,2,FALSE)&lt;&gt;0),VLOOKUP(I17,datos!K:L,2,FALSE)," ")</f>
        <v xml:space="preserve"> </v>
      </c>
      <c r="M17" s="25" t="str">
        <f t="shared" si="2"/>
        <v xml:space="preserve"> </v>
      </c>
      <c r="N17" s="20" t="str">
        <f>IF((+$I$5+ROW()-5)=(+$I$5+$F$6),-(+datos!$F$11)," ")</f>
        <v xml:space="preserve"> </v>
      </c>
      <c r="O17" s="25">
        <f>IF((+$I$5+ROW()-5)&lt;=(+$I$5+$F$6),+(+datos!$L$5*(1+datos!$L$6)^H16)," ")</f>
        <v>2476405</v>
      </c>
      <c r="P17" s="25">
        <f t="shared" si="0"/>
        <v>789058.95013201551</v>
      </c>
    </row>
    <row r="18" spans="1:16" ht="18.75" x14ac:dyDescent="0.3">
      <c r="A18" s="64" t="str">
        <f>CONCATENATE(" CAUE (",+($C$4*100),"%) = ")</f>
        <v xml:space="preserve"> CAUE (10%) = </v>
      </c>
      <c r="B18" s="65"/>
      <c r="C18" s="73">
        <f>+((J5+M26+P26)*C9+N26*C11+K6)/1000</f>
        <v>10088.2502460532</v>
      </c>
      <c r="D18" s="74"/>
      <c r="H18">
        <v>13</v>
      </c>
      <c r="I18">
        <f t="shared" si="1"/>
        <v>2029</v>
      </c>
      <c r="K18" s="25">
        <f>IF((+$I$5+ROW()-5)&lt;=(+$I$5+$F$6),+(+datos!$I$11)," ")</f>
        <v>928847</v>
      </c>
      <c r="L18" s="25" t="str">
        <f>IF((I18&lt;&gt;" ")*AND(VLOOKUP(I18,datos!K:L,2,FALSE)&lt;&gt;0),VLOOKUP(I18,datos!K:L,2,FALSE)," ")</f>
        <v xml:space="preserve"> </v>
      </c>
      <c r="M18" s="25" t="str">
        <f t="shared" si="2"/>
        <v xml:space="preserve"> </v>
      </c>
      <c r="N18" s="20" t="str">
        <f>IF((+$I$5+ROW()-5)=(+$I$5+$F$6),-(+datos!$F$11)," ")</f>
        <v xml:space="preserve"> </v>
      </c>
      <c r="O18" s="25">
        <f>IF((+$I$5+ROW()-5)&lt;=(+$I$5+$F$6),+(+datos!$L$5*(1+datos!$L$6)^H17)," ")</f>
        <v>2476405</v>
      </c>
      <c r="P18" s="25">
        <f t="shared" si="0"/>
        <v>717326.3183018323</v>
      </c>
    </row>
    <row r="19" spans="1:16" ht="18.75" x14ac:dyDescent="0.3">
      <c r="A19" s="64" t="str">
        <f>CONCATENATE(" CAUE (",+($C$4*100),"%) = ")</f>
        <v xml:space="preserve"> CAUE (10%) = </v>
      </c>
      <c r="B19" s="65"/>
      <c r="C19" s="81">
        <f>+((J5+M26+P26)*C9+N26*C11+K6)/F5</f>
        <v>385.78394822383177</v>
      </c>
      <c r="D19" s="82"/>
      <c r="H19">
        <v>14</v>
      </c>
      <c r="I19">
        <f t="shared" si="1"/>
        <v>2030</v>
      </c>
      <c r="K19" s="25">
        <f>IF((+$I$5+ROW()-5)&lt;=(+$I$5+$F$6),+(+datos!$I$11)," ")</f>
        <v>928847</v>
      </c>
      <c r="L19" s="25" t="str">
        <f>IF((I19&lt;&gt;" ")*AND(VLOOKUP(I19,datos!K:L,2,FALSE)&lt;&gt;0),VLOOKUP(I19,datos!K:L,2,FALSE)," ")</f>
        <v xml:space="preserve"> </v>
      </c>
      <c r="M19" s="25" t="str">
        <f t="shared" si="2"/>
        <v xml:space="preserve"> </v>
      </c>
      <c r="N19" s="20" t="str">
        <f>IF((+$I$5+ROW()-5)=(+$I$5+$F$6),-(+datos!$F$11)," ")</f>
        <v xml:space="preserve"> </v>
      </c>
      <c r="O19" s="25">
        <f>IF((+$I$5+ROW()-5)&lt;=(+$I$5+$F$6),+(+datos!$L$5*(1+datos!$L$6)^H18)," ")</f>
        <v>2476405</v>
      </c>
      <c r="P19" s="25">
        <f t="shared" si="0"/>
        <v>652114.83481984737</v>
      </c>
    </row>
    <row r="20" spans="1:16" ht="18.75" x14ac:dyDescent="0.3">
      <c r="A20" s="64" t="str">
        <f t="shared" ref="A20:A21" si="3">CONCATENATE(" CAUE (",+($C$4*100),"%) = ")</f>
        <v xml:space="preserve"> CAUE (10%) = </v>
      </c>
      <c r="B20" s="65"/>
      <c r="C20" s="77">
        <f>+C18/F3</f>
        <v>250.204619197748</v>
      </c>
      <c r="D20" s="78"/>
      <c r="H20">
        <v>15</v>
      </c>
      <c r="I20">
        <f t="shared" si="1"/>
        <v>2031</v>
      </c>
      <c r="K20" s="25">
        <f>IF((+$I$5+ROW()-5)&lt;=(+$I$5+$F$6),+(+datos!$I$11)," ")</f>
        <v>928847</v>
      </c>
      <c r="L20" s="25" t="str">
        <f>IF((I20&lt;&gt;" ")*AND(VLOOKUP(I20,datos!K:L,2,FALSE)&lt;&gt;0),VLOOKUP(I20,datos!K:L,2,FALSE)," ")</f>
        <v xml:space="preserve"> </v>
      </c>
      <c r="M20" s="25" t="str">
        <f t="shared" si="2"/>
        <v xml:space="preserve"> </v>
      </c>
      <c r="N20" s="20">
        <f>IF((+$I$5+ROW()-5)=(+$I$5+$F$6),-(+datos!$F$11)," ")</f>
        <v>0</v>
      </c>
      <c r="O20" s="25">
        <f>IF((+$I$5+ROW()-5)&lt;=(+$I$5+$F$6),+(+datos!$L$5*(1+datos!$L$6)^H19)," ")</f>
        <v>2476405</v>
      </c>
      <c r="P20" s="25">
        <f t="shared" si="0"/>
        <v>592831.66801804304</v>
      </c>
    </row>
    <row r="21" spans="1:16" ht="19.5" thickBot="1" x14ac:dyDescent="0.35">
      <c r="A21" s="75" t="str">
        <f t="shared" si="3"/>
        <v xml:space="preserve"> CAUE (10%) = </v>
      </c>
      <c r="B21" s="76"/>
      <c r="C21" s="79">
        <f>+C19/F3</f>
        <v>9.5680542714243995</v>
      </c>
      <c r="D21" s="80"/>
      <c r="H21">
        <v>16</v>
      </c>
      <c r="I21" t="str">
        <f t="shared" si="1"/>
        <v xml:space="preserve"> </v>
      </c>
      <c r="K21" s="25" t="str">
        <f>IF((+$I$5+ROW()-5)&lt;=(+$I$5+$F$6),+(+datos!$I$11)," ")</f>
        <v xml:space="preserve"> </v>
      </c>
      <c r="L21" s="25" t="str">
        <f>IF((I21&lt;&gt;" ")*AND(VLOOKUP(I21,datos!K:L,2,FALSE)&lt;&gt;0),VLOOKUP(I21,datos!K:L,2,FALSE)," ")</f>
        <v xml:space="preserve"> </v>
      </c>
      <c r="M21" s="25" t="str">
        <f t="shared" si="2"/>
        <v xml:space="preserve"> </v>
      </c>
      <c r="N21" s="20" t="str">
        <f>IF((+$I$5+ROW()-5)=(+$I$5+$F$6),-(+datos!$F$11)," ")</f>
        <v xml:space="preserve"> </v>
      </c>
      <c r="O21" s="25" t="str">
        <f>IF((+$I$5+ROW()-5)&lt;=(+$I$5+$F$6),+(+datos!$L$5*(1+datos!$L$6)^H20)," ")</f>
        <v xml:space="preserve"> </v>
      </c>
      <c r="P21" s="25" t="str">
        <f t="shared" si="0"/>
        <v xml:space="preserve"> </v>
      </c>
    </row>
    <row r="22" spans="1:16" x14ac:dyDescent="0.25">
      <c r="H22">
        <v>17</v>
      </c>
      <c r="I22" t="str">
        <f t="shared" si="1"/>
        <v xml:space="preserve"> </v>
      </c>
      <c r="K22" s="25" t="str">
        <f>IF((+$I$5+ROW()-5)&lt;=(+$I$5+$F$6),+(+datos!$I$11)," ")</f>
        <v xml:space="preserve"> </v>
      </c>
      <c r="L22" s="25" t="str">
        <f>IF((I22&lt;&gt;" ")*AND(VLOOKUP(I22,datos!K:L,2,FALSE)&lt;&gt;0),VLOOKUP(I22,datos!K:L,2,FALSE)," ")</f>
        <v xml:space="preserve"> </v>
      </c>
      <c r="M22" s="25" t="str">
        <f t="shared" si="2"/>
        <v xml:space="preserve"> </v>
      </c>
      <c r="N22" s="20" t="str">
        <f>IF((+$I$5+ROW()-5)=(+$I$5+$F$6),-(+datos!$F$11)," ")</f>
        <v xml:space="preserve"> </v>
      </c>
      <c r="O22" s="25" t="str">
        <f>IF((+$I$5+ROW()-5)&lt;=(+$I$5+$F$6),+(+datos!$L$5*(1+datos!$L$6)^H21)," ")</f>
        <v xml:space="preserve"> </v>
      </c>
      <c r="P22" s="25" t="str">
        <f t="shared" si="0"/>
        <v xml:space="preserve"> </v>
      </c>
    </row>
    <row r="23" spans="1:16" x14ac:dyDescent="0.25">
      <c r="H23">
        <v>18</v>
      </c>
      <c r="I23" t="str">
        <f t="shared" si="1"/>
        <v xml:space="preserve"> </v>
      </c>
      <c r="K23" s="25" t="str">
        <f>IF((+$I$5+ROW()-5)&lt;=(+$I$5+$F$6),+(+datos!$I$11)," ")</f>
        <v xml:space="preserve"> </v>
      </c>
      <c r="L23" s="25" t="str">
        <f>IF((I23&lt;&gt;" ")*AND(VLOOKUP(I23,datos!K:L,2,FALSE)&lt;&gt;0),VLOOKUP(I23,datos!K:L,2,FALSE)," ")</f>
        <v xml:space="preserve"> </v>
      </c>
      <c r="M23" s="25" t="str">
        <f t="shared" si="2"/>
        <v xml:space="preserve"> </v>
      </c>
      <c r="N23" s="20" t="str">
        <f>IF((+$I$5+ROW()-5)=(+$I$5+$F$6),-(+datos!$F$11)," ")</f>
        <v xml:space="preserve"> </v>
      </c>
      <c r="O23" s="25" t="str">
        <f>IF((+$I$5+ROW()-5)&lt;=(+$I$5+$F$6),+(+datos!$L$5*(1+datos!$L$6)^H22)," ")</f>
        <v xml:space="preserve"> </v>
      </c>
      <c r="P23" s="25" t="str">
        <f t="shared" si="0"/>
        <v xml:space="preserve"> </v>
      </c>
    </row>
    <row r="24" spans="1:16" x14ac:dyDescent="0.25">
      <c r="H24">
        <v>19</v>
      </c>
      <c r="I24" t="str">
        <f t="shared" si="1"/>
        <v xml:space="preserve"> </v>
      </c>
      <c r="K24" s="25" t="str">
        <f>IF((+$I$5+ROW()-5)&lt;=(+$I$5+$F$6),+(+datos!$I$11)," ")</f>
        <v xml:space="preserve"> </v>
      </c>
      <c r="L24" s="25" t="str">
        <f>IF((I24&lt;&gt;" ")*AND(VLOOKUP(I24,datos!K:L,2,FALSE)&lt;&gt;0),VLOOKUP(I24,datos!K:L,2,FALSE)," ")</f>
        <v xml:space="preserve"> </v>
      </c>
      <c r="M24" s="25" t="str">
        <f t="shared" si="2"/>
        <v xml:space="preserve"> </v>
      </c>
      <c r="N24" s="20" t="str">
        <f>IF((+$I$5+ROW()-5)=(+$I$5+$F$6),-(+datos!$F$11)," ")</f>
        <v xml:space="preserve"> </v>
      </c>
      <c r="O24" s="25" t="str">
        <f>IF((+$I$5+ROW()-5)&lt;=(+$I$5+$F$6),+(+datos!$L$5*(1+datos!$L$6)^H23)," ")</f>
        <v xml:space="preserve"> </v>
      </c>
      <c r="P24" s="25" t="str">
        <f t="shared" si="0"/>
        <v xml:space="preserve"> </v>
      </c>
    </row>
    <row r="25" spans="1:16" x14ac:dyDescent="0.25">
      <c r="H25">
        <v>20</v>
      </c>
      <c r="I25" t="str">
        <f t="shared" si="1"/>
        <v xml:space="preserve"> </v>
      </c>
      <c r="K25" s="25" t="str">
        <f>IF((+$I$5+ROW()-5)&lt;=(+$I$5+$F$6),+(+datos!$I$11)," ")</f>
        <v xml:space="preserve"> </v>
      </c>
      <c r="L25" s="25" t="str">
        <f>IF((I25&lt;&gt;" ")*AND(VLOOKUP(I25,datos!K:L,2,FALSE)&lt;&gt;0),VLOOKUP(I25,datos!K:L,2,FALSE)," ")</f>
        <v xml:space="preserve"> </v>
      </c>
      <c r="M25" s="25" t="str">
        <f t="shared" si="2"/>
        <v xml:space="preserve"> </v>
      </c>
      <c r="N25" s="20" t="str">
        <f>IF((+$I$5+ROW()-5)=(+$I$5+$F$6),-(+datos!$F$11)," ")</f>
        <v xml:space="preserve"> </v>
      </c>
      <c r="O25" s="25" t="str">
        <f>IF((+$I$5+ROW()-5)&lt;=(+$I$5+$F$6),+(+datos!$L$5*(1+datos!$L$6)^H24)," ")</f>
        <v xml:space="preserve"> </v>
      </c>
      <c r="P25" s="25" t="str">
        <f>IF(((I25&lt;&gt;" ")*AND(O25&lt;&gt;" ")),+O25/(1+$C$4)^(I25-$I$5)," ")</f>
        <v xml:space="preserve"> </v>
      </c>
    </row>
    <row r="26" spans="1:16" ht="15.75" x14ac:dyDescent="0.25">
      <c r="K26" s="25"/>
      <c r="L26" s="33" t="s">
        <v>24</v>
      </c>
      <c r="M26" s="34">
        <f>SUM(M6:M25)</f>
        <v>0</v>
      </c>
      <c r="N26" s="34">
        <f>SUM(N6:N25)</f>
        <v>0</v>
      </c>
      <c r="P26" s="25">
        <f>SUM(P6:P25)</f>
        <v>18835733.319819555</v>
      </c>
    </row>
    <row r="27" spans="1:16" x14ac:dyDescent="0.25">
      <c r="K27" s="25"/>
      <c r="N27" s="20"/>
    </row>
    <row r="28" spans="1:16" x14ac:dyDescent="0.25">
      <c r="K28" s="25"/>
      <c r="N28" s="20"/>
    </row>
    <row r="29" spans="1:16" x14ac:dyDescent="0.25">
      <c r="K29" s="25"/>
      <c r="N29" s="20"/>
    </row>
    <row r="30" spans="1:16" x14ac:dyDescent="0.25">
      <c r="K30" s="25"/>
      <c r="N30" s="20"/>
    </row>
    <row r="31" spans="1:16" x14ac:dyDescent="0.25">
      <c r="K31" s="25"/>
      <c r="N31" s="20"/>
    </row>
    <row r="32" spans="1:16" x14ac:dyDescent="0.25">
      <c r="K32" s="25"/>
      <c r="N32" s="20"/>
    </row>
    <row r="33" spans="9:14" x14ac:dyDescent="0.25">
      <c r="K33" s="25"/>
      <c r="N33" s="20"/>
    </row>
    <row r="34" spans="9:14" x14ac:dyDescent="0.25">
      <c r="K34" s="25"/>
      <c r="N34" s="20"/>
    </row>
    <row r="35" spans="9:14" x14ac:dyDescent="0.25">
      <c r="K35" s="25"/>
      <c r="N35" s="20"/>
    </row>
    <row r="36" spans="9:14" x14ac:dyDescent="0.25">
      <c r="I36" t="str">
        <f t="shared" si="1"/>
        <v xml:space="preserve"> </v>
      </c>
      <c r="K36" s="25" t="str">
        <f>IF((+$I$5+ROW()-5)&lt;=(+$I$5+$F$6),+(+datos!$F$11)," ")</f>
        <v xml:space="preserve"> </v>
      </c>
      <c r="N36" s="20" t="str">
        <f>IF((+$I$5+ROW()-5)=(+$I$5+$F$6),-(+datos!$I$11)," ")</f>
        <v xml:space="preserve"> </v>
      </c>
    </row>
    <row r="37" spans="9:14" x14ac:dyDescent="0.25">
      <c r="I37" t="str">
        <f t="shared" si="1"/>
        <v xml:space="preserve"> </v>
      </c>
      <c r="K37" s="25" t="str">
        <f>IF((+$I$5+ROW()-5)&lt;=(+$I$5+$F$6),+(+datos!$F$11)," ")</f>
        <v xml:space="preserve"> </v>
      </c>
      <c r="N37" s="20" t="str">
        <f>IF((+$I$5+ROW()-5)=(+$I$5+$F$6),-(+datos!$I$11)," ")</f>
        <v xml:space="preserve"> </v>
      </c>
    </row>
    <row r="38" spans="9:14" x14ac:dyDescent="0.25">
      <c r="I38" t="str">
        <f t="shared" ref="I38:I39" si="4">IF((+$I$5+ROW()-5)&lt;=(+$I$5+$F$6),+(I37+1)," ")</f>
        <v xml:space="preserve"> </v>
      </c>
      <c r="K38" s="19" t="str">
        <f>IF((+$I$5+ROW()-5)&lt;=(+$I$5+$F$6),+(+datos!$F$12)," ")</f>
        <v xml:space="preserve"> </v>
      </c>
      <c r="L38" s="20" t="str">
        <f>IF((+$I$5+ROW()-5)=(+$I$5+$F$6),-(+datos!$I$12)," ")</f>
        <v xml:space="preserve"> </v>
      </c>
    </row>
    <row r="39" spans="9:14" x14ac:dyDescent="0.25">
      <c r="I39" t="str">
        <f t="shared" si="4"/>
        <v xml:space="preserve"> </v>
      </c>
      <c r="L39" s="20" t="str">
        <f>IF((+$I$5+ROW()-5)=(+$I$5+$F$6),-(+datos!$I$12)," ")</f>
        <v xml:space="preserve"> </v>
      </c>
    </row>
  </sheetData>
  <sheetProtection password="C432" sheet="1" objects="1" scenarios="1" insertColumns="0" insertRows="0"/>
  <mergeCells count="20">
    <mergeCell ref="A20:B20"/>
    <mergeCell ref="A21:B21"/>
    <mergeCell ref="C20:D20"/>
    <mergeCell ref="C21:D21"/>
    <mergeCell ref="C19:D19"/>
    <mergeCell ref="A19:B19"/>
    <mergeCell ref="A18:B18"/>
    <mergeCell ref="A16:B16"/>
    <mergeCell ref="C16:D16"/>
    <mergeCell ref="C17:D17"/>
    <mergeCell ref="A17:B17"/>
    <mergeCell ref="C18:D18"/>
    <mergeCell ref="H2:O2"/>
    <mergeCell ref="C2:D2"/>
    <mergeCell ref="C3:D3"/>
    <mergeCell ref="D6:E6"/>
    <mergeCell ref="D4:E4"/>
    <mergeCell ref="D5:E5"/>
    <mergeCell ref="L3:M3"/>
    <mergeCell ref="O3:P3"/>
  </mergeCells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9"/>
  <sheetViews>
    <sheetView topLeftCell="A3" workbookViewId="0">
      <selection activeCell="A3" sqref="A3"/>
    </sheetView>
  </sheetViews>
  <sheetFormatPr baseColWidth="10" defaultRowHeight="15" x14ac:dyDescent="0.25"/>
  <cols>
    <col min="1" max="1" width="31.140625" bestFit="1" customWidth="1"/>
    <col min="2" max="2" width="15.28515625" bestFit="1" customWidth="1"/>
    <col min="4" max="4" width="15.140625" bestFit="1" customWidth="1"/>
    <col min="5" max="5" width="15.28515625" bestFit="1" customWidth="1"/>
  </cols>
  <sheetData>
    <row r="1" spans="1:5" x14ac:dyDescent="0.25">
      <c r="A1" t="s">
        <v>34</v>
      </c>
      <c r="B1" s="25">
        <f>+datos!C11</f>
        <v>50831416</v>
      </c>
    </row>
    <row r="2" spans="1:5" x14ac:dyDescent="0.25">
      <c r="A2" t="s">
        <v>35</v>
      </c>
      <c r="B2" s="25">
        <f>+datos!I11</f>
        <v>928847</v>
      </c>
    </row>
    <row r="3" spans="1:5" x14ac:dyDescent="0.25">
      <c r="A3" t="s">
        <v>36</v>
      </c>
      <c r="B3" s="25">
        <f>+'tabla costos'!M26</f>
        <v>0</v>
      </c>
    </row>
    <row r="4" spans="1:5" x14ac:dyDescent="0.25">
      <c r="A4" t="s">
        <v>37</v>
      </c>
      <c r="B4" s="25">
        <f>+datos!F11</f>
        <v>0</v>
      </c>
    </row>
    <row r="5" spans="1:5" x14ac:dyDescent="0.25">
      <c r="A5" t="s">
        <v>38</v>
      </c>
      <c r="B5">
        <f>+datos!F7</f>
        <v>15</v>
      </c>
    </row>
    <row r="6" spans="1:5" x14ac:dyDescent="0.25">
      <c r="A6" t="s">
        <v>40</v>
      </c>
      <c r="B6" s="21">
        <f>+datos!C5</f>
        <v>0.1</v>
      </c>
    </row>
    <row r="8" spans="1:5" x14ac:dyDescent="0.25">
      <c r="A8" s="24" t="s">
        <v>33</v>
      </c>
      <c r="B8" s="29" t="s">
        <v>39</v>
      </c>
      <c r="D8" t="s">
        <v>41</v>
      </c>
      <c r="E8" s="29" t="s">
        <v>39</v>
      </c>
    </row>
    <row r="9" spans="1:5" x14ac:dyDescent="0.25">
      <c r="A9" s="35">
        <v>1.0000000000000001E-5</v>
      </c>
      <c r="B9" s="36">
        <f>((+$B$1+$B$3)*(((1+A9)^$B$5*A9)/((1+A9)^$B$5-1))-$B$4*(A9/((1+A9)^$B$5-1))+$B$2)/1000</f>
        <v>4317.8791738518812</v>
      </c>
      <c r="C9" s="32"/>
      <c r="D9">
        <v>1</v>
      </c>
      <c r="E9" s="20">
        <f>((+$B$1+$B$3)*(((1+$B$6)^D9*$B$6)/((1+$B$6)^D9-1))-(($B$4/(1+$B$6)^$B$5))*($B$6*(1+$B$6)^D9/((1+$B$6)^D9-1))+$B$2)/1000</f>
        <v>56843.404599999958</v>
      </c>
    </row>
    <row r="10" spans="1:5" x14ac:dyDescent="0.25">
      <c r="A10" s="35">
        <v>0.01</v>
      </c>
      <c r="B10" s="36">
        <f t="shared" ref="B10:B59" si="0">((+$B$1+$B$3)*(((1+A10)^$B$5*A10)/((1+A10)^$B$5-1))-$B$4*(A10/((1+A10)^$B$5-1))+$B$2)/1000</f>
        <v>4595.0008740716003</v>
      </c>
      <c r="D10">
        <v>2</v>
      </c>
      <c r="E10" s="20">
        <f t="shared" ref="E10:E28" si="1">((+$B$1+$B$3)*(((1+$B$6)^D10*$B$6)/((1+$B$6)^D10-1))-(($B$4/(1+$B$6)^$B$5))*($B$6*(1+$B$6)^D10/((1+$B$6)^D10-1))+$B$2)/1000</f>
        <v>30217.424790476169</v>
      </c>
    </row>
    <row r="11" spans="1:5" x14ac:dyDescent="0.25">
      <c r="A11" s="35">
        <v>0.02</v>
      </c>
      <c r="B11" s="36">
        <f t="shared" si="0"/>
        <v>4884.8259553486187</v>
      </c>
      <c r="D11">
        <v>3</v>
      </c>
      <c r="E11" s="20">
        <f t="shared" si="1"/>
        <v>21368.911862839861</v>
      </c>
    </row>
    <row r="12" spans="1:5" x14ac:dyDescent="0.25">
      <c r="A12" s="35">
        <v>0.03</v>
      </c>
      <c r="B12" s="36">
        <f t="shared" si="0"/>
        <v>5186.820898376036</v>
      </c>
      <c r="D12">
        <v>4</v>
      </c>
      <c r="E12" s="20">
        <f t="shared" si="1"/>
        <v>16964.674659038992</v>
      </c>
    </row>
    <row r="13" spans="1:5" x14ac:dyDescent="0.25">
      <c r="A13" s="35">
        <v>0.04</v>
      </c>
      <c r="B13" s="36">
        <f t="shared" si="0"/>
        <v>5500.68048845469</v>
      </c>
      <c r="D13">
        <v>5</v>
      </c>
      <c r="E13" s="20">
        <f t="shared" si="1"/>
        <v>14338.046486029707</v>
      </c>
    </row>
    <row r="14" spans="1:5" x14ac:dyDescent="0.25">
      <c r="A14" s="35">
        <v>0.05</v>
      </c>
      <c r="B14" s="36">
        <f t="shared" si="0"/>
        <v>5826.0618998571445</v>
      </c>
      <c r="D14">
        <v>6</v>
      </c>
      <c r="E14" s="20">
        <f t="shared" si="1"/>
        <v>12600.11526788497</v>
      </c>
    </row>
    <row r="15" spans="1:5" x14ac:dyDescent="0.25">
      <c r="A15" s="35">
        <v>0.06</v>
      </c>
      <c r="B15" s="36">
        <f t="shared" si="0"/>
        <v>6162.5900871223012</v>
      </c>
      <c r="D15">
        <v>7</v>
      </c>
      <c r="E15" s="20">
        <f t="shared" si="1"/>
        <v>11369.899403968848</v>
      </c>
    </row>
    <row r="16" spans="1:5" x14ac:dyDescent="0.25">
      <c r="A16" s="35">
        <v>7.0000000000000007E-2</v>
      </c>
      <c r="B16" s="36">
        <f t="shared" si="0"/>
        <v>6509.8632427407383</v>
      </c>
      <c r="D16">
        <v>8</v>
      </c>
      <c r="E16" s="20">
        <f t="shared" si="1"/>
        <v>10456.891834056649</v>
      </c>
    </row>
    <row r="17" spans="1:5" x14ac:dyDescent="0.25">
      <c r="A17" s="35">
        <v>0.08</v>
      </c>
      <c r="B17" s="36">
        <f t="shared" si="0"/>
        <v>6867.4581997335254</v>
      </c>
      <c r="D17">
        <v>9</v>
      </c>
      <c r="E17" s="20">
        <f t="shared" si="1"/>
        <v>9755.2414761522032</v>
      </c>
    </row>
    <row r="18" spans="1:5" x14ac:dyDescent="0.25">
      <c r="A18" s="35">
        <v>0.09</v>
      </c>
      <c r="B18" s="36">
        <f t="shared" si="0"/>
        <v>7234.9356724930922</v>
      </c>
      <c r="D18">
        <v>10</v>
      </c>
      <c r="E18" s="20">
        <f t="shared" si="1"/>
        <v>9201.4258693572174</v>
      </c>
    </row>
    <row r="19" spans="1:5" x14ac:dyDescent="0.25">
      <c r="A19" s="35">
        <v>0.1</v>
      </c>
      <c r="B19" s="36">
        <f t="shared" si="0"/>
        <v>7611.8452460532008</v>
      </c>
      <c r="D19">
        <v>11</v>
      </c>
      <c r="E19" s="20">
        <f t="shared" si="1"/>
        <v>8755.011520920265</v>
      </c>
    </row>
    <row r="20" spans="1:5" x14ac:dyDescent="0.25">
      <c r="A20" s="35">
        <v>0.11</v>
      </c>
      <c r="B20" s="36">
        <f t="shared" si="0"/>
        <v>7997.7300416722201</v>
      </c>
      <c r="D20">
        <v>12</v>
      </c>
      <c r="E20" s="20">
        <f t="shared" si="1"/>
        <v>8389.0341234017833</v>
      </c>
    </row>
    <row r="21" spans="1:5" x14ac:dyDescent="0.25">
      <c r="A21" s="35">
        <v>0.12</v>
      </c>
      <c r="B21" s="36">
        <f t="shared" si="0"/>
        <v>8392.131004347124</v>
      </c>
      <c r="D21">
        <v>13</v>
      </c>
      <c r="E21" s="20">
        <f t="shared" si="1"/>
        <v>8084.8187054816235</v>
      </c>
    </row>
    <row r="22" spans="1:5" x14ac:dyDescent="0.25">
      <c r="A22" s="35">
        <v>0.13</v>
      </c>
      <c r="B22" s="36">
        <f t="shared" si="0"/>
        <v>8794.5907748739537</v>
      </c>
      <c r="D22">
        <v>14</v>
      </c>
      <c r="E22" s="20">
        <f t="shared" si="1"/>
        <v>7829.0197434653564</v>
      </c>
    </row>
    <row r="23" spans="1:5" x14ac:dyDescent="0.25">
      <c r="A23" s="35">
        <v>0.14000000000000001</v>
      </c>
      <c r="B23" s="36">
        <f t="shared" si="0"/>
        <v>9204.6571247497686</v>
      </c>
      <c r="D23">
        <v>15</v>
      </c>
      <c r="E23" s="20">
        <f t="shared" si="1"/>
        <v>7611.8452460532008</v>
      </c>
    </row>
    <row r="24" spans="1:5" x14ac:dyDescent="0.25">
      <c r="A24" s="35">
        <v>0.15</v>
      </c>
      <c r="B24" s="36">
        <f t="shared" si="0"/>
        <v>9621.8859461580323</v>
      </c>
      <c r="D24">
        <v>16</v>
      </c>
      <c r="E24" s="20">
        <f t="shared" si="1"/>
        <v>7425.9468186821214</v>
      </c>
    </row>
    <row r="25" spans="1:5" x14ac:dyDescent="0.25">
      <c r="A25" s="35">
        <v>0.16</v>
      </c>
      <c r="B25" s="36">
        <f t="shared" si="0"/>
        <v>10045.843801241592</v>
      </c>
      <c r="D25">
        <v>17</v>
      </c>
      <c r="E25" s="20">
        <f t="shared" si="1"/>
        <v>7265.701475591798</v>
      </c>
    </row>
    <row r="26" spans="1:5" x14ac:dyDescent="0.25">
      <c r="A26" s="35">
        <v>0.17</v>
      </c>
      <c r="B26" s="36">
        <f t="shared" si="0"/>
        <v>10476.110044735569</v>
      </c>
      <c r="D26">
        <v>18</v>
      </c>
      <c r="E26" s="20">
        <f t="shared" si="1"/>
        <v>7126.7328487519699</v>
      </c>
    </row>
    <row r="27" spans="1:5" x14ac:dyDescent="0.25">
      <c r="A27" s="35">
        <v>0.18</v>
      </c>
      <c r="B27" s="36">
        <f t="shared" si="0"/>
        <v>10912.27854181466</v>
      </c>
      <c r="D27">
        <v>19</v>
      </c>
      <c r="E27" s="20">
        <f t="shared" si="1"/>
        <v>7005.5835907329756</v>
      </c>
    </row>
    <row r="28" spans="1:5" x14ac:dyDescent="0.25">
      <c r="A28" s="35">
        <v>0.19</v>
      </c>
      <c r="B28" s="36">
        <f t="shared" si="0"/>
        <v>11353.95900880843</v>
      </c>
      <c r="D28">
        <v>20</v>
      </c>
      <c r="E28" s="20">
        <f t="shared" si="1"/>
        <v>6899.486050017179</v>
      </c>
    </row>
    <row r="29" spans="1:5" x14ac:dyDescent="0.25">
      <c r="A29" s="35">
        <v>0.2</v>
      </c>
      <c r="B29" s="36">
        <f t="shared" si="0"/>
        <v>11800.778008422325</v>
      </c>
    </row>
    <row r="30" spans="1:5" x14ac:dyDescent="0.25">
      <c r="A30" s="35">
        <v>0.21</v>
      </c>
      <c r="B30" s="36">
        <f t="shared" si="0"/>
        <v>12252.379633483504</v>
      </c>
    </row>
    <row r="31" spans="1:5" x14ac:dyDescent="0.25">
      <c r="A31" s="35">
        <v>0.22</v>
      </c>
      <c r="B31" s="36">
        <f t="shared" si="0"/>
        <v>12708.425914244133</v>
      </c>
    </row>
    <row r="32" spans="1:5" x14ac:dyDescent="0.25">
      <c r="A32" s="35">
        <v>0.23</v>
      </c>
      <c r="B32" s="36">
        <f t="shared" si="0"/>
        <v>13168.596984160335</v>
      </c>
    </row>
    <row r="33" spans="1:2" x14ac:dyDescent="0.25">
      <c r="A33" s="35">
        <v>0.24</v>
      </c>
      <c r="B33" s="36">
        <f t="shared" si="0"/>
        <v>13632.59103805628</v>
      </c>
    </row>
    <row r="34" spans="1:2" x14ac:dyDescent="0.25">
      <c r="A34" s="35">
        <v>0.25</v>
      </c>
      <c r="B34" s="36">
        <f t="shared" si="0"/>
        <v>14100.124114895605</v>
      </c>
    </row>
    <row r="35" spans="1:2" x14ac:dyDescent="0.25">
      <c r="A35" s="35">
        <v>0.26</v>
      </c>
      <c r="B35" s="36">
        <f t="shared" si="0"/>
        <v>14570.929735211097</v>
      </c>
    </row>
    <row r="36" spans="1:2" x14ac:dyDescent="0.25">
      <c r="A36" s="35">
        <v>0.27</v>
      </c>
      <c r="B36" s="36">
        <f t="shared" si="0"/>
        <v>15044.758420756212</v>
      </c>
    </row>
    <row r="37" spans="1:2" x14ac:dyDescent="0.25">
      <c r="A37" s="35">
        <v>0.28000000000000003</v>
      </c>
      <c r="B37" s="36">
        <f t="shared" si="0"/>
        <v>15521.377121279293</v>
      </c>
    </row>
    <row r="38" spans="1:2" x14ac:dyDescent="0.25">
      <c r="A38" s="35">
        <v>0.28999999999999998</v>
      </c>
      <c r="B38" s="36">
        <f t="shared" si="0"/>
        <v>16000.568570599093</v>
      </c>
    </row>
    <row r="39" spans="1:2" x14ac:dyDescent="0.25">
      <c r="A39" s="35">
        <v>0.3</v>
      </c>
      <c r="B39" s="36">
        <f t="shared" si="0"/>
        <v>16482.130591467918</v>
      </c>
    </row>
    <row r="40" spans="1:2" x14ac:dyDescent="0.25">
      <c r="A40" s="35">
        <v>0.31</v>
      </c>
      <c r="B40" s="36">
        <f t="shared" si="0"/>
        <v>16965.875366115095</v>
      </c>
    </row>
    <row r="41" spans="1:2" x14ac:dyDescent="0.25">
      <c r="A41" s="35">
        <v>0.32</v>
      </c>
      <c r="B41" s="36">
        <f t="shared" si="0"/>
        <v>17451.628686917491</v>
      </c>
    </row>
    <row r="42" spans="1:2" x14ac:dyDescent="0.25">
      <c r="A42" s="35">
        <v>0.33</v>
      </c>
      <c r="B42" s="36">
        <f t="shared" si="0"/>
        <v>17939.229199378227</v>
      </c>
    </row>
    <row r="43" spans="1:2" x14ac:dyDescent="0.25">
      <c r="A43" s="35">
        <v>0.34</v>
      </c>
      <c r="B43" s="36">
        <f t="shared" si="0"/>
        <v>18428.527647528223</v>
      </c>
    </row>
    <row r="44" spans="1:2" x14ac:dyDescent="0.25">
      <c r="A44" s="35">
        <v>0.35</v>
      </c>
      <c r="B44" s="36">
        <f t="shared" si="0"/>
        <v>18919.38613000781</v>
      </c>
    </row>
    <row r="45" spans="1:2" x14ac:dyDescent="0.25">
      <c r="A45" s="35">
        <v>0.36</v>
      </c>
      <c r="B45" s="36">
        <f t="shared" si="0"/>
        <v>19411.677373435577</v>
      </c>
    </row>
    <row r="46" spans="1:2" x14ac:dyDescent="0.25">
      <c r="A46" s="35">
        <v>0.37</v>
      </c>
      <c r="B46" s="36">
        <f t="shared" si="0"/>
        <v>19905.284028225054</v>
      </c>
    </row>
    <row r="47" spans="1:2" x14ac:dyDescent="0.25">
      <c r="A47" s="35">
        <v>0.38</v>
      </c>
      <c r="B47" s="36">
        <f t="shared" si="0"/>
        <v>20400.097990754908</v>
      </c>
    </row>
    <row r="48" spans="1:2" x14ac:dyDescent="0.25">
      <c r="A48" s="35">
        <v>0.39</v>
      </c>
      <c r="B48" s="36">
        <f t="shared" si="0"/>
        <v>20896.01975472262</v>
      </c>
    </row>
    <row r="49" spans="1:2" x14ac:dyDescent="0.25">
      <c r="A49" s="35">
        <v>0.4</v>
      </c>
      <c r="B49" s="36">
        <f t="shared" si="0"/>
        <v>21392.957793599617</v>
      </c>
    </row>
    <row r="50" spans="1:2" x14ac:dyDescent="0.25">
      <c r="A50" s="35">
        <v>0.41</v>
      </c>
      <c r="B50" s="36">
        <f t="shared" si="0"/>
        <v>21890.827975342363</v>
      </c>
    </row>
    <row r="51" spans="1:2" x14ac:dyDescent="0.25">
      <c r="A51" s="35">
        <v>0.42</v>
      </c>
      <c r="B51" s="36">
        <f t="shared" si="0"/>
        <v>22389.553009882085</v>
      </c>
    </row>
    <row r="52" spans="1:2" x14ac:dyDescent="0.25">
      <c r="A52" s="35">
        <v>0.43</v>
      </c>
      <c r="B52" s="36">
        <f t="shared" si="0"/>
        <v>22889.061929400941</v>
      </c>
    </row>
    <row r="53" spans="1:2" x14ac:dyDescent="0.25">
      <c r="A53" s="35">
        <v>0.44</v>
      </c>
      <c r="B53" s="36">
        <f t="shared" si="0"/>
        <v>23389.289600989287</v>
      </c>
    </row>
    <row r="54" spans="1:2" x14ac:dyDescent="0.25">
      <c r="A54" s="35">
        <v>0.45</v>
      </c>
      <c r="B54" s="36">
        <f t="shared" si="0"/>
        <v>23890.176270953369</v>
      </c>
    </row>
    <row r="55" spans="1:2" x14ac:dyDescent="0.25">
      <c r="A55" s="35">
        <v>0.46</v>
      </c>
      <c r="B55" s="36">
        <f t="shared" si="0"/>
        <v>24391.667139793091</v>
      </c>
    </row>
    <row r="56" spans="1:2" x14ac:dyDescent="0.25">
      <c r="A56" s="35">
        <v>0.47</v>
      </c>
      <c r="B56" s="36">
        <f t="shared" si="0"/>
        <v>24893.711966683346</v>
      </c>
    </row>
    <row r="57" spans="1:2" x14ac:dyDescent="0.25">
      <c r="A57" s="35">
        <v>0.48</v>
      </c>
      <c r="B57" s="36">
        <f t="shared" si="0"/>
        <v>25396.264702160322</v>
      </c>
    </row>
    <row r="58" spans="1:2" x14ac:dyDescent="0.25">
      <c r="A58" s="35">
        <v>0.49</v>
      </c>
      <c r="B58" s="36">
        <f t="shared" si="0"/>
        <v>25899.283147626255</v>
      </c>
    </row>
    <row r="59" spans="1:2" x14ac:dyDescent="0.25">
      <c r="A59" s="35">
        <v>0.5</v>
      </c>
      <c r="B59" s="36">
        <f t="shared" si="0"/>
        <v>26402.728640235266</v>
      </c>
    </row>
  </sheetData>
  <sheetProtection password="C432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8"/>
  <sheetViews>
    <sheetView workbookViewId="0">
      <selection activeCell="B1" sqref="B1"/>
    </sheetView>
  </sheetViews>
  <sheetFormatPr baseColWidth="10" defaultRowHeight="15" x14ac:dyDescent="0.25"/>
  <sheetData>
    <row r="1" spans="1:7" x14ac:dyDescent="0.25">
      <c r="A1" t="s">
        <v>26</v>
      </c>
      <c r="B1" s="21">
        <f>+datos!C5</f>
        <v>0.1</v>
      </c>
    </row>
    <row r="2" spans="1:7" x14ac:dyDescent="0.25">
      <c r="A2" t="s">
        <v>25</v>
      </c>
      <c r="B2" s="29" t="s">
        <v>27</v>
      </c>
      <c r="C2" s="29" t="s">
        <v>28</v>
      </c>
      <c r="D2" s="29" t="s">
        <v>29</v>
      </c>
      <c r="E2" s="29" t="s">
        <v>30</v>
      </c>
      <c r="F2" s="29" t="s">
        <v>31</v>
      </c>
      <c r="G2" s="29" t="s">
        <v>32</v>
      </c>
    </row>
    <row r="3" spans="1:7" x14ac:dyDescent="0.25">
      <c r="A3">
        <v>0</v>
      </c>
    </row>
    <row r="4" spans="1:7" x14ac:dyDescent="0.25">
      <c r="A4">
        <v>1</v>
      </c>
      <c r="B4" s="23">
        <f>+(1+$B$1)^A4</f>
        <v>1.1000000000000001</v>
      </c>
      <c r="C4" s="23">
        <f>1/B4</f>
        <v>0.90909090909090906</v>
      </c>
      <c r="D4" s="23">
        <f>+(B4-1)/$B$1</f>
        <v>1.0000000000000009</v>
      </c>
      <c r="E4" s="23">
        <f>1/D4</f>
        <v>0.99999999999999911</v>
      </c>
      <c r="F4" s="23">
        <f>+D4/B4</f>
        <v>0.90909090909090984</v>
      </c>
      <c r="G4" s="23">
        <f>1/F4</f>
        <v>1.0999999999999992</v>
      </c>
    </row>
    <row r="5" spans="1:7" x14ac:dyDescent="0.25">
      <c r="A5">
        <v>2</v>
      </c>
      <c r="B5" s="23">
        <f t="shared" ref="B5:B28" si="0">+(1+$B$1)^A5</f>
        <v>1.2100000000000002</v>
      </c>
      <c r="C5" s="23">
        <f t="shared" ref="C5:C28" si="1">1/B5</f>
        <v>0.82644628099173545</v>
      </c>
      <c r="D5" s="23">
        <f t="shared" ref="D5:D28" si="2">+(B5-1)/$B$1</f>
        <v>2.1000000000000019</v>
      </c>
      <c r="E5" s="23">
        <f t="shared" ref="E5:E28" si="3">1/D5</f>
        <v>0.47619047619047578</v>
      </c>
      <c r="F5" s="23">
        <f t="shared" ref="F5:F28" si="4">+D5/B5</f>
        <v>1.735537190082646</v>
      </c>
      <c r="G5" s="23">
        <f t="shared" ref="G5:G28" si="5">1/F5</f>
        <v>0.5761904761904757</v>
      </c>
    </row>
    <row r="6" spans="1:7" x14ac:dyDescent="0.25">
      <c r="A6">
        <v>3</v>
      </c>
      <c r="B6" s="23">
        <f t="shared" si="0"/>
        <v>1.3310000000000004</v>
      </c>
      <c r="C6" s="23">
        <f t="shared" si="1"/>
        <v>0.75131480090157754</v>
      </c>
      <c r="D6" s="23">
        <f t="shared" si="2"/>
        <v>3.3100000000000041</v>
      </c>
      <c r="E6" s="23">
        <f t="shared" si="3"/>
        <v>0.30211480362537729</v>
      </c>
      <c r="F6" s="23">
        <f t="shared" si="4"/>
        <v>2.4868519909842246</v>
      </c>
      <c r="G6" s="23">
        <f t="shared" si="5"/>
        <v>0.40211480362537727</v>
      </c>
    </row>
    <row r="7" spans="1:7" x14ac:dyDescent="0.25">
      <c r="A7">
        <v>4</v>
      </c>
      <c r="B7" s="23">
        <f t="shared" si="0"/>
        <v>1.4641000000000004</v>
      </c>
      <c r="C7" s="23">
        <f t="shared" si="1"/>
        <v>0.68301345536507052</v>
      </c>
      <c r="D7" s="23">
        <f t="shared" si="2"/>
        <v>4.6410000000000036</v>
      </c>
      <c r="E7" s="23">
        <f t="shared" si="3"/>
        <v>0.21547080370609767</v>
      </c>
      <c r="F7" s="23">
        <f t="shared" si="4"/>
        <v>3.1698654463492946</v>
      </c>
      <c r="G7" s="23">
        <f t="shared" si="5"/>
        <v>0.3154708037060977</v>
      </c>
    </row>
    <row r="8" spans="1:7" x14ac:dyDescent="0.25">
      <c r="A8">
        <v>5</v>
      </c>
      <c r="B8" s="23">
        <f t="shared" si="0"/>
        <v>1.6105100000000006</v>
      </c>
      <c r="C8" s="23">
        <f t="shared" si="1"/>
        <v>0.62092132305915493</v>
      </c>
      <c r="D8" s="23">
        <f t="shared" si="2"/>
        <v>6.1051000000000055</v>
      </c>
      <c r="E8" s="23">
        <f t="shared" si="3"/>
        <v>0.16379748079474524</v>
      </c>
      <c r="F8" s="23">
        <f t="shared" si="4"/>
        <v>3.7907867694084505</v>
      </c>
      <c r="G8" s="23">
        <f t="shared" si="5"/>
        <v>0.26379748079474524</v>
      </c>
    </row>
    <row r="9" spans="1:7" x14ac:dyDescent="0.25">
      <c r="A9">
        <v>6</v>
      </c>
      <c r="B9" s="23">
        <f t="shared" si="0"/>
        <v>1.7715610000000008</v>
      </c>
      <c r="C9" s="23">
        <f t="shared" si="1"/>
        <v>0.56447393005377722</v>
      </c>
      <c r="D9" s="23">
        <f t="shared" si="2"/>
        <v>7.7156100000000079</v>
      </c>
      <c r="E9" s="23">
        <f t="shared" si="3"/>
        <v>0.12960738036266725</v>
      </c>
      <c r="F9" s="23">
        <f t="shared" si="4"/>
        <v>4.355260699462228</v>
      </c>
      <c r="G9" s="23">
        <f t="shared" si="5"/>
        <v>0.22960738036266726</v>
      </c>
    </row>
    <row r="10" spans="1:7" x14ac:dyDescent="0.25">
      <c r="A10">
        <v>7</v>
      </c>
      <c r="B10" s="23">
        <f t="shared" si="0"/>
        <v>1.9487171000000012</v>
      </c>
      <c r="C10" s="23">
        <f t="shared" si="1"/>
        <v>0.51315811823070645</v>
      </c>
      <c r="D10" s="23">
        <f t="shared" si="2"/>
        <v>9.4871710000000107</v>
      </c>
      <c r="E10" s="23">
        <f t="shared" si="3"/>
        <v>0.10540549970059555</v>
      </c>
      <c r="F10" s="23">
        <f t="shared" si="4"/>
        <v>4.8684188176929348</v>
      </c>
      <c r="G10" s="23">
        <f t="shared" si="5"/>
        <v>0.20540549970059557</v>
      </c>
    </row>
    <row r="11" spans="1:7" x14ac:dyDescent="0.25">
      <c r="A11">
        <v>8</v>
      </c>
      <c r="B11" s="23">
        <f t="shared" si="0"/>
        <v>2.1435888100000011</v>
      </c>
      <c r="C11" s="23">
        <f t="shared" si="1"/>
        <v>0.46650738020973315</v>
      </c>
      <c r="D11" s="23">
        <f t="shared" si="2"/>
        <v>11.43588810000001</v>
      </c>
      <c r="E11" s="23">
        <f t="shared" si="3"/>
        <v>8.7444017574813376E-2</v>
      </c>
      <c r="F11" s="23">
        <f t="shared" si="4"/>
        <v>5.3349261979026679</v>
      </c>
      <c r="G11" s="23">
        <f t="shared" si="5"/>
        <v>0.18744401757481338</v>
      </c>
    </row>
    <row r="12" spans="1:7" x14ac:dyDescent="0.25">
      <c r="A12">
        <v>9</v>
      </c>
      <c r="B12" s="23">
        <f t="shared" si="0"/>
        <v>2.3579476910000015</v>
      </c>
      <c r="C12" s="23">
        <f t="shared" si="1"/>
        <v>0.42409761837248466</v>
      </c>
      <c r="D12" s="23">
        <f t="shared" si="2"/>
        <v>13.579476910000015</v>
      </c>
      <c r="E12" s="23">
        <f t="shared" si="3"/>
        <v>7.3640539074343397E-2</v>
      </c>
      <c r="F12" s="23">
        <f t="shared" si="4"/>
        <v>5.7590238162751533</v>
      </c>
      <c r="G12" s="23">
        <f t="shared" si="5"/>
        <v>0.1736405390743434</v>
      </c>
    </row>
    <row r="13" spans="1:7" x14ac:dyDescent="0.25">
      <c r="A13">
        <v>10</v>
      </c>
      <c r="B13" s="23">
        <f t="shared" si="0"/>
        <v>2.5937424601000019</v>
      </c>
      <c r="C13" s="23">
        <f t="shared" si="1"/>
        <v>0.38554328942953148</v>
      </c>
      <c r="D13" s="23">
        <f t="shared" si="2"/>
        <v>15.937424601000018</v>
      </c>
      <c r="E13" s="23">
        <f t="shared" si="3"/>
        <v>6.2745394882511532E-2</v>
      </c>
      <c r="F13" s="23">
        <f t="shared" si="4"/>
        <v>6.1445671057046853</v>
      </c>
      <c r="G13" s="23">
        <f t="shared" si="5"/>
        <v>0.16274539488251152</v>
      </c>
    </row>
    <row r="14" spans="1:7" x14ac:dyDescent="0.25">
      <c r="A14">
        <v>11</v>
      </c>
      <c r="B14" s="23">
        <f t="shared" si="0"/>
        <v>2.8531167061100025</v>
      </c>
      <c r="C14" s="23">
        <f t="shared" si="1"/>
        <v>0.3504938994813922</v>
      </c>
      <c r="D14" s="23">
        <f t="shared" si="2"/>
        <v>18.531167061100025</v>
      </c>
      <c r="E14" s="23">
        <f t="shared" si="3"/>
        <v>5.3963142024614573E-2</v>
      </c>
      <c r="F14" s="23">
        <f t="shared" si="4"/>
        <v>6.495061005186078</v>
      </c>
      <c r="G14" s="23">
        <f t="shared" si="5"/>
        <v>0.15396314202461456</v>
      </c>
    </row>
    <row r="15" spans="1:7" x14ac:dyDescent="0.25">
      <c r="A15">
        <v>12</v>
      </c>
      <c r="B15" s="23">
        <f t="shared" si="0"/>
        <v>3.1384283767210026</v>
      </c>
      <c r="C15" s="23">
        <f t="shared" si="1"/>
        <v>0.31863081771035656</v>
      </c>
      <c r="D15" s="23">
        <f t="shared" si="2"/>
        <v>21.384283767210025</v>
      </c>
      <c r="E15" s="23">
        <f t="shared" si="3"/>
        <v>4.6763315100287244E-2</v>
      </c>
      <c r="F15" s="23">
        <f t="shared" si="4"/>
        <v>6.813691822896434</v>
      </c>
      <c r="G15" s="23">
        <f t="shared" si="5"/>
        <v>0.14676331510028726</v>
      </c>
    </row>
    <row r="16" spans="1:7" x14ac:dyDescent="0.25">
      <c r="A16">
        <v>13</v>
      </c>
      <c r="B16" s="23">
        <f t="shared" si="0"/>
        <v>3.4522712143931029</v>
      </c>
      <c r="C16" s="23">
        <f t="shared" si="1"/>
        <v>0.28966437973668779</v>
      </c>
      <c r="D16" s="23">
        <f t="shared" si="2"/>
        <v>24.522712143931027</v>
      </c>
      <c r="E16" s="23">
        <f t="shared" si="3"/>
        <v>4.0778523767302129E-2</v>
      </c>
      <c r="F16" s="23">
        <f t="shared" si="4"/>
        <v>7.1033562026331216</v>
      </c>
      <c r="G16" s="23">
        <f t="shared" si="5"/>
        <v>0.14077852376730216</v>
      </c>
    </row>
    <row r="17" spans="1:7" x14ac:dyDescent="0.25">
      <c r="A17">
        <v>14</v>
      </c>
      <c r="B17" s="23">
        <f t="shared" si="0"/>
        <v>3.7974983358324139</v>
      </c>
      <c r="C17" s="23">
        <f t="shared" si="1"/>
        <v>0.26333125430607973</v>
      </c>
      <c r="D17" s="23">
        <f t="shared" si="2"/>
        <v>27.974983358324138</v>
      </c>
      <c r="E17" s="23">
        <f t="shared" si="3"/>
        <v>3.5746223230636649E-2</v>
      </c>
      <c r="F17" s="23">
        <f t="shared" si="4"/>
        <v>7.3666874569392027</v>
      </c>
      <c r="G17" s="23">
        <f t="shared" si="5"/>
        <v>0.13574622323063665</v>
      </c>
    </row>
    <row r="18" spans="1:7" x14ac:dyDescent="0.25">
      <c r="A18">
        <v>15</v>
      </c>
      <c r="B18" s="23">
        <f t="shared" si="0"/>
        <v>4.1772481694156554</v>
      </c>
      <c r="C18" s="23">
        <f t="shared" si="1"/>
        <v>0.23939204936916339</v>
      </c>
      <c r="D18" s="23">
        <f t="shared" si="2"/>
        <v>31.772481694156554</v>
      </c>
      <c r="E18" s="23">
        <f t="shared" si="3"/>
        <v>3.1473776887372171E-2</v>
      </c>
      <c r="F18" s="23">
        <f t="shared" si="4"/>
        <v>7.6060795063083662</v>
      </c>
      <c r="G18" s="23">
        <f t="shared" si="5"/>
        <v>0.13147377688737216</v>
      </c>
    </row>
    <row r="19" spans="1:7" x14ac:dyDescent="0.25">
      <c r="A19">
        <v>16</v>
      </c>
      <c r="B19" s="23">
        <f t="shared" si="0"/>
        <v>4.5949729863572211</v>
      </c>
      <c r="C19" s="23">
        <f t="shared" si="1"/>
        <v>0.21762913579014853</v>
      </c>
      <c r="D19" s="23">
        <f t="shared" si="2"/>
        <v>35.949729863572209</v>
      </c>
      <c r="E19" s="23">
        <f t="shared" si="3"/>
        <v>2.7816620703269818E-2</v>
      </c>
      <c r="F19" s="23">
        <f t="shared" si="4"/>
        <v>7.8237086420985147</v>
      </c>
      <c r="G19" s="23">
        <f t="shared" si="5"/>
        <v>0.12781662070326982</v>
      </c>
    </row>
    <row r="20" spans="1:7" x14ac:dyDescent="0.25">
      <c r="A20">
        <v>17</v>
      </c>
      <c r="B20" s="23">
        <f t="shared" si="0"/>
        <v>5.0544702849929433</v>
      </c>
      <c r="C20" s="23">
        <f t="shared" si="1"/>
        <v>0.19784466890013502</v>
      </c>
      <c r="D20" s="23">
        <f t="shared" si="2"/>
        <v>40.544702849929429</v>
      </c>
      <c r="E20" s="23">
        <f t="shared" si="3"/>
        <v>2.4664134392632268E-2</v>
      </c>
      <c r="F20" s="23">
        <f t="shared" si="4"/>
        <v>8.0215533109986499</v>
      </c>
      <c r="G20" s="23">
        <f t="shared" si="5"/>
        <v>0.12466413439263227</v>
      </c>
    </row>
    <row r="21" spans="1:7" x14ac:dyDescent="0.25">
      <c r="A21">
        <v>18</v>
      </c>
      <c r="B21" s="23">
        <f t="shared" si="0"/>
        <v>5.5599173134922379</v>
      </c>
      <c r="C21" s="23">
        <f t="shared" si="1"/>
        <v>0.17985878990921364</v>
      </c>
      <c r="D21" s="23">
        <f t="shared" si="2"/>
        <v>45.599173134922374</v>
      </c>
      <c r="E21" s="23">
        <f t="shared" si="3"/>
        <v>2.1930222222256584E-2</v>
      </c>
      <c r="F21" s="23">
        <f t="shared" si="4"/>
        <v>8.2014121009078629</v>
      </c>
      <c r="G21" s="23">
        <f t="shared" si="5"/>
        <v>0.12193022222225659</v>
      </c>
    </row>
    <row r="22" spans="1:7" x14ac:dyDescent="0.25">
      <c r="A22">
        <v>19</v>
      </c>
      <c r="B22" s="23">
        <f t="shared" si="0"/>
        <v>6.1159090448414632</v>
      </c>
      <c r="C22" s="23">
        <f t="shared" si="1"/>
        <v>0.16350799082655781</v>
      </c>
      <c r="D22" s="23">
        <f t="shared" si="2"/>
        <v>51.159090448414631</v>
      </c>
      <c r="E22" s="23">
        <f t="shared" si="3"/>
        <v>1.9546868234655821E-2</v>
      </c>
      <c r="F22" s="23">
        <f t="shared" si="4"/>
        <v>8.3649200917344206</v>
      </c>
      <c r="G22" s="23">
        <f t="shared" si="5"/>
        <v>0.11954686823465584</v>
      </c>
    </row>
    <row r="23" spans="1:7" x14ac:dyDescent="0.25">
      <c r="A23">
        <v>20</v>
      </c>
      <c r="B23" s="23">
        <f t="shared" si="0"/>
        <v>6.7274999493256091</v>
      </c>
      <c r="C23" s="23">
        <f t="shared" si="1"/>
        <v>0.14864362802414349</v>
      </c>
      <c r="D23" s="23">
        <f t="shared" si="2"/>
        <v>57.27499949325609</v>
      </c>
      <c r="E23" s="23">
        <f t="shared" si="3"/>
        <v>1.7459624772545763E-2</v>
      </c>
      <c r="F23" s="23">
        <f t="shared" si="4"/>
        <v>8.5135637197585652</v>
      </c>
      <c r="G23" s="23">
        <f t="shared" si="5"/>
        <v>0.11745962477254576</v>
      </c>
    </row>
    <row r="24" spans="1:7" x14ac:dyDescent="0.25">
      <c r="A24">
        <v>21</v>
      </c>
      <c r="B24" s="23">
        <f t="shared" si="0"/>
        <v>7.4002499442581708</v>
      </c>
      <c r="C24" s="23">
        <f t="shared" si="1"/>
        <v>0.13513057093103953</v>
      </c>
      <c r="D24" s="23">
        <f t="shared" si="2"/>
        <v>64.002499442581708</v>
      </c>
      <c r="E24" s="23">
        <f t="shared" si="3"/>
        <v>1.5624389808356247E-2</v>
      </c>
      <c r="F24" s="23">
        <f t="shared" si="4"/>
        <v>8.6486942906896047</v>
      </c>
      <c r="G24" s="23">
        <f t="shared" si="5"/>
        <v>0.11562438980835625</v>
      </c>
    </row>
    <row r="25" spans="1:7" x14ac:dyDescent="0.25">
      <c r="A25">
        <v>22</v>
      </c>
      <c r="B25" s="23">
        <f t="shared" si="0"/>
        <v>8.140274938683989</v>
      </c>
      <c r="C25" s="23">
        <f t="shared" si="1"/>
        <v>0.12284597357367227</v>
      </c>
      <c r="D25" s="23">
        <f t="shared" si="2"/>
        <v>71.402749386839886</v>
      </c>
      <c r="E25" s="23">
        <f t="shared" si="3"/>
        <v>1.4005062950479442E-2</v>
      </c>
      <c r="F25" s="23">
        <f t="shared" si="4"/>
        <v>8.771540264263276</v>
      </c>
      <c r="G25" s="23">
        <f t="shared" si="5"/>
        <v>0.11400506295047946</v>
      </c>
    </row>
    <row r="26" spans="1:7" x14ac:dyDescent="0.25">
      <c r="A26">
        <v>23</v>
      </c>
      <c r="B26" s="23">
        <f t="shared" si="0"/>
        <v>8.9543024325523888</v>
      </c>
      <c r="C26" s="23">
        <f t="shared" si="1"/>
        <v>0.11167815779424752</v>
      </c>
      <c r="D26" s="23">
        <f t="shared" si="2"/>
        <v>79.543024325523888</v>
      </c>
      <c r="E26" s="23">
        <f t="shared" si="3"/>
        <v>1.2571812657104596E-2</v>
      </c>
      <c r="F26" s="23">
        <f t="shared" si="4"/>
        <v>8.8832184220575243</v>
      </c>
      <c r="G26" s="23">
        <f t="shared" si="5"/>
        <v>0.1125718126571046</v>
      </c>
    </row>
    <row r="27" spans="1:7" x14ac:dyDescent="0.25">
      <c r="A27">
        <v>24</v>
      </c>
      <c r="B27" s="23">
        <f t="shared" si="0"/>
        <v>9.8497326758076262</v>
      </c>
      <c r="C27" s="23">
        <f t="shared" si="1"/>
        <v>0.10152559799477048</v>
      </c>
      <c r="D27" s="23">
        <f t="shared" si="2"/>
        <v>88.497326758076255</v>
      </c>
      <c r="E27" s="23">
        <f t="shared" si="3"/>
        <v>1.1299776350687792E-2</v>
      </c>
      <c r="F27" s="23">
        <f t="shared" si="4"/>
        <v>8.984744020052295</v>
      </c>
      <c r="G27" s="23">
        <f t="shared" si="5"/>
        <v>0.11129977635068779</v>
      </c>
    </row>
    <row r="28" spans="1:7" x14ac:dyDescent="0.25">
      <c r="A28">
        <v>25</v>
      </c>
      <c r="B28" s="23">
        <f t="shared" si="0"/>
        <v>10.834705943388391</v>
      </c>
      <c r="C28" s="23">
        <f t="shared" si="1"/>
        <v>9.2295998177064048E-2</v>
      </c>
      <c r="D28" s="23">
        <f t="shared" si="2"/>
        <v>98.347059433883899</v>
      </c>
      <c r="E28" s="23">
        <f t="shared" si="3"/>
        <v>1.0168072190020824E-2</v>
      </c>
      <c r="F28" s="23">
        <f t="shared" si="4"/>
        <v>9.0770400182293578</v>
      </c>
      <c r="G28" s="23">
        <f t="shared" si="5"/>
        <v>0.11016807219002084</v>
      </c>
    </row>
  </sheetData>
  <sheetProtection password="C432" sheet="1" objects="1" scenarios="1"/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Hojas de cálculo</vt:lpstr>
      </vt:variant>
      <vt:variant>
        <vt:i4>4</vt:i4>
      </vt:variant>
      <vt:variant>
        <vt:lpstr>Gráficos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datos</vt:lpstr>
      <vt:lpstr>tabla costos</vt:lpstr>
      <vt:lpstr>DATOS GRÁFICO</vt:lpstr>
      <vt:lpstr>factores actualización</vt:lpstr>
      <vt:lpstr>CAUE &amp; Tasa interés</vt:lpstr>
      <vt:lpstr>CAUE &amp; periodo estudio</vt:lpstr>
      <vt:lpstr>datos!Área_de_impresión</vt:lpstr>
    </vt:vector>
  </TitlesOfParts>
  <Company>Universidad de Concepción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López Roudergue</dc:creator>
  <cp:lastModifiedBy>Marco López Roudergue</cp:lastModifiedBy>
  <cp:lastPrinted>2016-08-04T19:35:08Z</cp:lastPrinted>
  <dcterms:created xsi:type="dcterms:W3CDTF">2016-07-14T15:42:42Z</dcterms:created>
  <dcterms:modified xsi:type="dcterms:W3CDTF">2017-11-15T14:01:54Z</dcterms:modified>
</cp:coreProperties>
</file>