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9875" windowHeight="8100" tabRatio="736" activeTab="4"/>
  </bookViews>
  <sheets>
    <sheet name="identif.+inversiones+prestamos" sheetId="1" r:id="rId1"/>
    <sheet name="Costos" sheetId="2" r:id="rId2"/>
    <sheet name="produccion-ventas" sheetId="3" r:id="rId3"/>
    <sheet name="flujo caja operación" sheetId="4" r:id="rId4"/>
    <sheet name="ev. económica" sheetId="5" r:id="rId5"/>
    <sheet name="VAN &amp; TASA INTERES" sheetId="7" r:id="rId6"/>
    <sheet name="Hoja6" sheetId="6" r:id="rId7"/>
  </sheets>
  <calcPr calcId="145621"/>
</workbook>
</file>

<file path=xl/calcChain.xml><?xml version="1.0" encoding="utf-8"?>
<calcChain xmlns="http://schemas.openxmlformats.org/spreadsheetml/2006/main">
  <c r="E13" i="5" l="1"/>
  <c r="C13" i="5"/>
  <c r="D30" i="2" l="1"/>
  <c r="E30" i="2"/>
  <c r="F30" i="2"/>
  <c r="F32" i="2" s="1"/>
  <c r="G30" i="2"/>
  <c r="G32" i="2" s="1"/>
  <c r="H30" i="2"/>
  <c r="I30" i="2"/>
  <c r="J30" i="2"/>
  <c r="K30" i="2"/>
  <c r="L30" i="2"/>
  <c r="D31" i="2"/>
  <c r="E31" i="2"/>
  <c r="F31" i="2"/>
  <c r="G31" i="2"/>
  <c r="H31" i="2"/>
  <c r="I31" i="2"/>
  <c r="J31" i="2"/>
  <c r="K31" i="2"/>
  <c r="L31" i="2"/>
  <c r="D32" i="2"/>
  <c r="E32" i="2"/>
  <c r="H32" i="2"/>
  <c r="I32" i="2"/>
  <c r="J32" i="2"/>
  <c r="K32" i="2"/>
  <c r="L32" i="2"/>
  <c r="C31" i="2"/>
  <c r="C30" i="2"/>
  <c r="C32" i="2"/>
  <c r="E29" i="1" l="1"/>
  <c r="E30" i="1"/>
  <c r="E31" i="1"/>
  <c r="E32" i="1"/>
  <c r="E33" i="1"/>
  <c r="E34" i="1"/>
  <c r="E35" i="1"/>
  <c r="E36" i="1"/>
  <c r="E37" i="1"/>
  <c r="E28" i="1"/>
  <c r="G28" i="1" l="1"/>
  <c r="F28" i="1" s="1"/>
  <c r="J55" i="1"/>
  <c r="K55" i="1"/>
  <c r="J56" i="1"/>
  <c r="K56" i="1"/>
  <c r="J57" i="1"/>
  <c r="K57" i="1"/>
  <c r="L57" i="1" s="1"/>
  <c r="F4" i="5" s="1"/>
  <c r="F24" i="5" s="1"/>
  <c r="J58" i="1"/>
  <c r="K58" i="1"/>
  <c r="J59" i="1"/>
  <c r="K59" i="1"/>
  <c r="J60" i="1"/>
  <c r="K60" i="1"/>
  <c r="J61" i="1"/>
  <c r="K61" i="1"/>
  <c r="J62" i="1"/>
  <c r="K62" i="1"/>
  <c r="J63" i="1"/>
  <c r="K63" i="1"/>
  <c r="K54" i="1"/>
  <c r="J54" i="1"/>
  <c r="E55" i="1"/>
  <c r="E56" i="1"/>
  <c r="E57" i="1"/>
  <c r="E58" i="1"/>
  <c r="E59" i="1"/>
  <c r="E60" i="1"/>
  <c r="E61" i="1"/>
  <c r="E62" i="1"/>
  <c r="E63" i="1"/>
  <c r="E54" i="1"/>
  <c r="H28" i="1" l="1"/>
  <c r="G29" i="1" s="1"/>
  <c r="F29" i="1" s="1"/>
  <c r="C28" i="5"/>
  <c r="C29" i="5"/>
  <c r="L63" i="1"/>
  <c r="L4" i="5" s="1"/>
  <c r="L24" i="5" s="1"/>
  <c r="L59" i="1"/>
  <c r="H4" i="5" s="1"/>
  <c r="H24" i="5" s="1"/>
  <c r="L55" i="1"/>
  <c r="D4" i="5" s="1"/>
  <c r="D24" i="5" s="1"/>
  <c r="L61" i="1"/>
  <c r="J4" i="5" s="1"/>
  <c r="J24" i="5" s="1"/>
  <c r="L60" i="1"/>
  <c r="I4" i="5" s="1"/>
  <c r="I24" i="5" s="1"/>
  <c r="L56" i="1"/>
  <c r="E4" i="5" s="1"/>
  <c r="E24" i="5" s="1"/>
  <c r="L62" i="1"/>
  <c r="K4" i="5" s="1"/>
  <c r="K24" i="5" s="1"/>
  <c r="L58" i="1"/>
  <c r="G4" i="5" s="1"/>
  <c r="G24" i="5" s="1"/>
  <c r="L54" i="1"/>
  <c r="C4" i="5" s="1"/>
  <c r="C24" i="5" s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H54" i="1"/>
  <c r="G54" i="1"/>
  <c r="I42" i="1"/>
  <c r="J42" i="1" s="1"/>
  <c r="H63" i="1" s="1"/>
  <c r="B26" i="5"/>
  <c r="D6" i="3"/>
  <c r="D7" i="3" s="1"/>
  <c r="D8" i="3" s="1"/>
  <c r="C4" i="4" s="1"/>
  <c r="E6" i="3"/>
  <c r="E7" i="3" s="1"/>
  <c r="E8" i="3" s="1"/>
  <c r="D4" i="4" s="1"/>
  <c r="F6" i="3"/>
  <c r="F7" i="3" s="1"/>
  <c r="F8" i="3" s="1"/>
  <c r="E4" i="4" s="1"/>
  <c r="G6" i="3"/>
  <c r="G7" i="3" s="1"/>
  <c r="G8" i="3" s="1"/>
  <c r="F4" i="4" s="1"/>
  <c r="H6" i="3"/>
  <c r="H7" i="3" s="1"/>
  <c r="H8" i="3" s="1"/>
  <c r="G4" i="4" s="1"/>
  <c r="I6" i="3"/>
  <c r="I7" i="3" s="1"/>
  <c r="I8" i="3" s="1"/>
  <c r="H4" i="4" s="1"/>
  <c r="J6" i="3"/>
  <c r="J7" i="3" s="1"/>
  <c r="J8" i="3" s="1"/>
  <c r="I4" i="4" s="1"/>
  <c r="K6" i="3"/>
  <c r="K7" i="3" s="1"/>
  <c r="K8" i="3" s="1"/>
  <c r="J4" i="4" s="1"/>
  <c r="L6" i="3"/>
  <c r="L7" i="3" s="1"/>
  <c r="L8" i="3" s="1"/>
  <c r="K4" i="4" s="1"/>
  <c r="C6" i="3"/>
  <c r="C7" i="3" s="1"/>
  <c r="C8" i="3" s="1"/>
  <c r="B4" i="4" s="1"/>
  <c r="A1" i="3"/>
  <c r="D12" i="2"/>
  <c r="E12" i="2" s="1"/>
  <c r="D3" i="2"/>
  <c r="E3" i="2" s="1"/>
  <c r="K18" i="2" s="1"/>
  <c r="G16" i="1"/>
  <c r="F16" i="1" s="1"/>
  <c r="G15" i="1"/>
  <c r="F15" i="1" s="1"/>
  <c r="G14" i="1"/>
  <c r="F14" i="1" s="1"/>
  <c r="H29" i="1" l="1"/>
  <c r="G30" i="1" s="1"/>
  <c r="F30" i="1" s="1"/>
  <c r="D28" i="5"/>
  <c r="D29" i="5"/>
  <c r="I62" i="1"/>
  <c r="K8" i="5" s="1"/>
  <c r="K32" i="5" s="1"/>
  <c r="I56" i="1"/>
  <c r="E8" i="5" s="1"/>
  <c r="E32" i="5" s="1"/>
  <c r="I59" i="1"/>
  <c r="H8" i="5" s="1"/>
  <c r="H32" i="5" s="1"/>
  <c r="I57" i="1"/>
  <c r="F8" i="5" s="1"/>
  <c r="F32" i="5" s="1"/>
  <c r="I60" i="1"/>
  <c r="I8" i="5" s="1"/>
  <c r="I32" i="5" s="1"/>
  <c r="I58" i="1"/>
  <c r="G8" i="5" s="1"/>
  <c r="G32" i="5" s="1"/>
  <c r="I61" i="1"/>
  <c r="J8" i="5" s="1"/>
  <c r="J32" i="5" s="1"/>
  <c r="I55" i="1"/>
  <c r="D8" i="5" s="1"/>
  <c r="D32" i="5" s="1"/>
  <c r="I54" i="1"/>
  <c r="C8" i="5" s="1"/>
  <c r="C32" i="5" s="1"/>
  <c r="D41" i="1"/>
  <c r="G41" i="1" s="1"/>
  <c r="D42" i="1"/>
  <c r="G42" i="1" s="1"/>
  <c r="I41" i="1"/>
  <c r="H18" i="2"/>
  <c r="G18" i="2"/>
  <c r="J18" i="2"/>
  <c r="I18" i="2"/>
  <c r="F18" i="2"/>
  <c r="C18" i="2"/>
  <c r="E18" i="2"/>
  <c r="L18" i="2"/>
  <c r="D18" i="2"/>
  <c r="E13" i="1"/>
  <c r="F13" i="1"/>
  <c r="H30" i="1" l="1"/>
  <c r="G31" i="1" s="1"/>
  <c r="F31" i="1" s="1"/>
  <c r="E29" i="5"/>
  <c r="E28" i="5"/>
  <c r="J41" i="1"/>
  <c r="G63" i="1" s="1"/>
  <c r="I63" i="1" s="1"/>
  <c r="L8" i="5" s="1"/>
  <c r="L32" i="5" s="1"/>
  <c r="D57" i="1"/>
  <c r="D61" i="1"/>
  <c r="D58" i="1"/>
  <c r="D62" i="1"/>
  <c r="F62" i="1" s="1"/>
  <c r="K7" i="5" s="1"/>
  <c r="K31" i="5" s="1"/>
  <c r="D59" i="1"/>
  <c r="D55" i="1"/>
  <c r="F55" i="1" s="1"/>
  <c r="D7" i="5" s="1"/>
  <c r="D31" i="5" s="1"/>
  <c r="D63" i="1"/>
  <c r="D60" i="1"/>
  <c r="D54" i="1"/>
  <c r="D56" i="1"/>
  <c r="F60" i="1"/>
  <c r="I7" i="5" s="1"/>
  <c r="I31" i="5" s="1"/>
  <c r="F56" i="1"/>
  <c r="E7" i="5" s="1"/>
  <c r="E31" i="5" s="1"/>
  <c r="F59" i="1"/>
  <c r="H7" i="5" s="1"/>
  <c r="H31" i="5" s="1"/>
  <c r="D27" i="1"/>
  <c r="B27" i="5" s="1"/>
  <c r="H31" i="1" l="1"/>
  <c r="G32" i="1" s="1"/>
  <c r="F32" i="1" s="1"/>
  <c r="F28" i="5"/>
  <c r="F29" i="5"/>
  <c r="G33" i="1"/>
  <c r="F33" i="1" s="1"/>
  <c r="F63" i="1"/>
  <c r="L7" i="5" s="1"/>
  <c r="L31" i="5" s="1"/>
  <c r="F54" i="1"/>
  <c r="C7" i="5" s="1"/>
  <c r="C31" i="5" s="1"/>
  <c r="F57" i="1"/>
  <c r="F7" i="5" s="1"/>
  <c r="F31" i="5" s="1"/>
  <c r="F61" i="1"/>
  <c r="J7" i="5" s="1"/>
  <c r="J31" i="5" s="1"/>
  <c r="F58" i="1"/>
  <c r="G7" i="5" s="1"/>
  <c r="G31" i="5" s="1"/>
  <c r="H27" i="1"/>
  <c r="H33" i="1" l="1"/>
  <c r="H28" i="5"/>
  <c r="H29" i="5"/>
  <c r="H32" i="1"/>
  <c r="G28" i="5"/>
  <c r="G29" i="5"/>
  <c r="G34" i="1"/>
  <c r="F34" i="1" s="1"/>
  <c r="H34" i="1"/>
  <c r="A46" i="5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40" i="5"/>
  <c r="A16" i="5"/>
  <c r="D13" i="2"/>
  <c r="E13" i="2" s="1"/>
  <c r="D11" i="2"/>
  <c r="E11" i="2" s="1"/>
  <c r="D7" i="2"/>
  <c r="E7" i="2" s="1"/>
  <c r="D8" i="2"/>
  <c r="E8" i="2" s="1"/>
  <c r="A6" i="3"/>
  <c r="D10" i="2"/>
  <c r="E10" i="2" s="1"/>
  <c r="D5" i="2"/>
  <c r="E5" i="2" s="1"/>
  <c r="D6" i="2"/>
  <c r="E6" i="2" s="1"/>
  <c r="D9" i="2"/>
  <c r="E9" i="2" s="1"/>
  <c r="D4" i="2"/>
  <c r="E4" i="2" s="1"/>
  <c r="B5" i="5"/>
  <c r="B25" i="5" s="1"/>
  <c r="L25" i="5" s="1"/>
  <c r="E17" i="1"/>
  <c r="I28" i="5" l="1"/>
  <c r="I29" i="5"/>
  <c r="G35" i="1"/>
  <c r="F35" i="1" s="1"/>
  <c r="H35" i="1"/>
  <c r="C29" i="2"/>
  <c r="H29" i="2"/>
  <c r="J29" i="2"/>
  <c r="K29" i="2"/>
  <c r="D29" i="2"/>
  <c r="L29" i="2"/>
  <c r="E29" i="2"/>
  <c r="F29" i="2"/>
  <c r="G29" i="2"/>
  <c r="I29" i="2"/>
  <c r="H28" i="2"/>
  <c r="I28" i="2"/>
  <c r="K28" i="2"/>
  <c r="D28" i="2"/>
  <c r="L28" i="2"/>
  <c r="E28" i="2"/>
  <c r="C28" i="2"/>
  <c r="F28" i="2"/>
  <c r="G28" i="2"/>
  <c r="J28" i="2"/>
  <c r="J27" i="2"/>
  <c r="D27" i="2"/>
  <c r="L27" i="2"/>
  <c r="E27" i="2"/>
  <c r="F27" i="2"/>
  <c r="G27" i="2"/>
  <c r="C27" i="2"/>
  <c r="H27" i="2"/>
  <c r="I27" i="2"/>
  <c r="K27" i="2"/>
  <c r="D19" i="2"/>
  <c r="K21" i="2"/>
  <c r="D20" i="2"/>
  <c r="G17" i="1"/>
  <c r="B4" i="5" s="1"/>
  <c r="B24" i="5" s="1"/>
  <c r="B37" i="5" s="1"/>
  <c r="F17" i="1"/>
  <c r="L5" i="5"/>
  <c r="F20" i="2"/>
  <c r="E21" i="2"/>
  <c r="G19" i="2"/>
  <c r="J21" i="2"/>
  <c r="K20" i="2"/>
  <c r="L19" i="2"/>
  <c r="C19" i="2"/>
  <c r="I21" i="2"/>
  <c r="J20" i="2"/>
  <c r="K19" i="2"/>
  <c r="C20" i="2"/>
  <c r="H21" i="2"/>
  <c r="I20" i="2"/>
  <c r="J19" i="2"/>
  <c r="C21" i="2"/>
  <c r="G21" i="2"/>
  <c r="H20" i="2"/>
  <c r="I19" i="2"/>
  <c r="F21" i="2"/>
  <c r="G20" i="2"/>
  <c r="H19" i="2"/>
  <c r="L21" i="2"/>
  <c r="D21" i="2"/>
  <c r="E20" i="2"/>
  <c r="F19" i="2"/>
  <c r="L20" i="2"/>
  <c r="E19" i="2"/>
  <c r="J28" i="5" l="1"/>
  <c r="J29" i="5"/>
  <c r="G36" i="1"/>
  <c r="F36" i="1" s="1"/>
  <c r="H42" i="2"/>
  <c r="D42" i="2"/>
  <c r="L42" i="2"/>
  <c r="K42" i="2"/>
  <c r="E42" i="2"/>
  <c r="I42" i="2"/>
  <c r="J42" i="2"/>
  <c r="C42" i="2"/>
  <c r="G42" i="2"/>
  <c r="F42" i="2"/>
  <c r="I22" i="2"/>
  <c r="I41" i="2" s="1"/>
  <c r="D22" i="2"/>
  <c r="D41" i="2" s="1"/>
  <c r="D43" i="2" s="1"/>
  <c r="C5" i="4" s="1"/>
  <c r="G22" i="2"/>
  <c r="G41" i="2" s="1"/>
  <c r="L22" i="2"/>
  <c r="L41" i="2" s="1"/>
  <c r="K22" i="2"/>
  <c r="K41" i="2" s="1"/>
  <c r="H22" i="2"/>
  <c r="H41" i="2" s="1"/>
  <c r="E22" i="2"/>
  <c r="E41" i="2" s="1"/>
  <c r="J22" i="2"/>
  <c r="J41" i="2" s="1"/>
  <c r="F22" i="2"/>
  <c r="F41" i="2" s="1"/>
  <c r="C22" i="2"/>
  <c r="C41" i="2" s="1"/>
  <c r="B13" i="5"/>
  <c r="H36" i="1" l="1"/>
  <c r="K29" i="5"/>
  <c r="K28" i="5"/>
  <c r="G37" i="1"/>
  <c r="F37" i="1" s="1"/>
  <c r="H43" i="2"/>
  <c r="G5" i="4" s="1"/>
  <c r="K43" i="2"/>
  <c r="J5" i="4" s="1"/>
  <c r="L43" i="2"/>
  <c r="K5" i="4" s="1"/>
  <c r="E43" i="2"/>
  <c r="D5" i="4" s="1"/>
  <c r="J43" i="2"/>
  <c r="I5" i="4" s="1"/>
  <c r="G43" i="2"/>
  <c r="F5" i="4" s="1"/>
  <c r="C43" i="2"/>
  <c r="B5" i="4" s="1"/>
  <c r="F43" i="2"/>
  <c r="E5" i="4" s="1"/>
  <c r="I43" i="2"/>
  <c r="H5" i="4" s="1"/>
  <c r="H37" i="1" l="1"/>
  <c r="L28" i="5"/>
  <c r="L29" i="5"/>
  <c r="B6" i="4"/>
  <c r="C6" i="5" s="1"/>
  <c r="C9" i="5" l="1"/>
  <c r="C6" i="4"/>
  <c r="D6" i="5" s="1"/>
  <c r="D30" i="5" s="1"/>
  <c r="D33" i="5" s="1"/>
  <c r="C30" i="5"/>
  <c r="C33" i="5" s="1"/>
  <c r="D34" i="5" l="1"/>
  <c r="C10" i="5"/>
  <c r="C11" i="5" s="1"/>
  <c r="D9" i="5"/>
  <c r="D6" i="4"/>
  <c r="E6" i="5" s="1"/>
  <c r="E30" i="5" s="1"/>
  <c r="E33" i="5" s="1"/>
  <c r="C12" i="5" l="1"/>
  <c r="C34" i="5"/>
  <c r="C35" i="5" s="1"/>
  <c r="E34" i="5"/>
  <c r="E9" i="5"/>
  <c r="D10" i="5"/>
  <c r="D11" i="5" s="1"/>
  <c r="E6" i="4"/>
  <c r="F6" i="5" s="1"/>
  <c r="F30" i="5" s="1"/>
  <c r="F33" i="5" s="1"/>
  <c r="D35" i="5" l="1"/>
  <c r="D36" i="5"/>
  <c r="D37" i="5" s="1"/>
  <c r="C36" i="5"/>
  <c r="C37" i="5" s="1"/>
  <c r="D12" i="5"/>
  <c r="D13" i="5" s="1"/>
  <c r="F34" i="5"/>
  <c r="E10" i="5"/>
  <c r="E11" i="5" s="1"/>
  <c r="F9" i="5"/>
  <c r="F10" i="5" s="1"/>
  <c r="F6" i="4"/>
  <c r="G6" i="5" s="1"/>
  <c r="G30" i="5" s="1"/>
  <c r="G33" i="5" s="1"/>
  <c r="F11" i="5" l="1"/>
  <c r="E35" i="5"/>
  <c r="F36" i="5" s="1"/>
  <c r="F37" i="5" s="1"/>
  <c r="E36" i="5"/>
  <c r="E37" i="5" s="1"/>
  <c r="E12" i="5"/>
  <c r="G34" i="5"/>
  <c r="F12" i="5"/>
  <c r="F13" i="5" s="1"/>
  <c r="G9" i="5"/>
  <c r="G10" i="5" s="1"/>
  <c r="G6" i="4"/>
  <c r="H6" i="5" s="1"/>
  <c r="H30" i="5" s="1"/>
  <c r="H33" i="5" s="1"/>
  <c r="F35" i="5" l="1"/>
  <c r="G36" i="5" s="1"/>
  <c r="G37" i="5" s="1"/>
  <c r="G11" i="5"/>
  <c r="H34" i="5"/>
  <c r="G12" i="5"/>
  <c r="G13" i="5" s="1"/>
  <c r="H9" i="5"/>
  <c r="H10" i="5" s="1"/>
  <c r="H6" i="4"/>
  <c r="I6" i="5" s="1"/>
  <c r="I30" i="5" s="1"/>
  <c r="I33" i="5" s="1"/>
  <c r="G35" i="5" l="1"/>
  <c r="H36" i="5" s="1"/>
  <c r="H37" i="5" s="1"/>
  <c r="H11" i="5"/>
  <c r="I34" i="5"/>
  <c r="H12" i="5"/>
  <c r="H13" i="5" s="1"/>
  <c r="I9" i="5"/>
  <c r="I10" i="5" s="1"/>
  <c r="I6" i="4"/>
  <c r="J6" i="5" s="1"/>
  <c r="J30" i="5" s="1"/>
  <c r="J33" i="5" s="1"/>
  <c r="H35" i="5" l="1"/>
  <c r="I35" i="5" s="1"/>
  <c r="I11" i="5"/>
  <c r="J34" i="5"/>
  <c r="I12" i="5"/>
  <c r="I13" i="5" s="1"/>
  <c r="J9" i="5"/>
  <c r="J6" i="4"/>
  <c r="K6" i="5" s="1"/>
  <c r="K30" i="5" s="1"/>
  <c r="K33" i="5" s="1"/>
  <c r="J36" i="5" l="1"/>
  <c r="J37" i="5" s="1"/>
  <c r="I36" i="5"/>
  <c r="I37" i="5" s="1"/>
  <c r="J35" i="5"/>
  <c r="J10" i="5"/>
  <c r="J11" i="5" s="1"/>
  <c r="K34" i="5"/>
  <c r="K9" i="5"/>
  <c r="K10" i="5" s="1"/>
  <c r="K6" i="4"/>
  <c r="L6" i="5" s="1"/>
  <c r="L30" i="5" s="1"/>
  <c r="L33" i="5" s="1"/>
  <c r="J12" i="5" l="1"/>
  <c r="J13" i="5" s="1"/>
  <c r="K36" i="5"/>
  <c r="K37" i="5" s="1"/>
  <c r="K35" i="5"/>
  <c r="L34" i="5"/>
  <c r="K11" i="5"/>
  <c r="K12" i="5"/>
  <c r="K13" i="5" s="1"/>
  <c r="L9" i="5"/>
  <c r="L36" i="5" l="1"/>
  <c r="L37" i="5" s="1"/>
  <c r="L35" i="5"/>
  <c r="L10" i="5"/>
  <c r="L11" i="5" s="1"/>
  <c r="C53" i="5"/>
  <c r="L12" i="5" l="1"/>
  <c r="L13" i="5" s="1"/>
  <c r="C90" i="5"/>
  <c r="C60" i="5"/>
  <c r="C93" i="5"/>
  <c r="C89" i="5"/>
  <c r="C49" i="5"/>
  <c r="C87" i="5"/>
  <c r="C50" i="5"/>
  <c r="C91" i="5"/>
  <c r="C86" i="5"/>
  <c r="C52" i="5"/>
  <c r="C75" i="5"/>
  <c r="C82" i="5"/>
  <c r="C95" i="5"/>
  <c r="C48" i="5"/>
  <c r="C85" i="5"/>
  <c r="C67" i="5"/>
  <c r="C73" i="5"/>
  <c r="C46" i="5"/>
  <c r="C47" i="5"/>
  <c r="C58" i="5"/>
  <c r="C51" i="5"/>
  <c r="C68" i="5"/>
  <c r="C78" i="5"/>
  <c r="C74" i="5"/>
  <c r="C69" i="5"/>
  <c r="C84" i="5"/>
  <c r="C79" i="5"/>
  <c r="C63" i="5"/>
  <c r="C83" i="5"/>
  <c r="C59" i="5"/>
  <c r="C66" i="5"/>
  <c r="C62" i="5"/>
  <c r="C94" i="5"/>
  <c r="C55" i="5"/>
  <c r="C56" i="5"/>
  <c r="C57" i="5"/>
  <c r="C64" i="5"/>
  <c r="C88" i="5"/>
  <c r="C54" i="5"/>
  <c r="C45" i="5"/>
  <c r="C77" i="5"/>
  <c r="C71" i="5"/>
  <c r="B41" i="5"/>
  <c r="C72" i="5"/>
  <c r="C65" i="5"/>
  <c r="C81" i="5"/>
  <c r="C92" i="5"/>
  <c r="C80" i="5"/>
  <c r="C70" i="5"/>
  <c r="C76" i="5"/>
  <c r="C61" i="5"/>
  <c r="B40" i="5"/>
  <c r="B84" i="5" l="1"/>
  <c r="B76" i="5"/>
  <c r="B89" i="5"/>
  <c r="B75" i="5"/>
  <c r="B64" i="5"/>
  <c r="B58" i="5"/>
  <c r="B45" i="5"/>
  <c r="B82" i="5"/>
  <c r="B49" i="5"/>
  <c r="B85" i="5"/>
  <c r="B74" i="5"/>
  <c r="B94" i="5"/>
  <c r="B93" i="5"/>
  <c r="B66" i="5"/>
  <c r="B78" i="5"/>
  <c r="B95" i="5"/>
  <c r="B46" i="5"/>
  <c r="B67" i="5"/>
  <c r="B52" i="5"/>
  <c r="B68" i="5"/>
  <c r="B51" i="5"/>
  <c r="B61" i="5"/>
  <c r="B63" i="5"/>
  <c r="B86" i="5"/>
  <c r="B47" i="5"/>
  <c r="B70" i="5"/>
  <c r="B80" i="5"/>
  <c r="B88" i="5"/>
  <c r="B92" i="5"/>
  <c r="B72" i="5"/>
  <c r="B81" i="5"/>
  <c r="B62" i="5"/>
  <c r="B59" i="5"/>
  <c r="B87" i="5"/>
  <c r="B79" i="5"/>
  <c r="B73" i="5"/>
  <c r="B69" i="5"/>
  <c r="B53" i="5"/>
  <c r="B55" i="5"/>
  <c r="B90" i="5"/>
  <c r="B54" i="5"/>
  <c r="B60" i="5"/>
  <c r="B50" i="5"/>
  <c r="B83" i="5"/>
  <c r="B65" i="5"/>
  <c r="B57" i="5"/>
  <c r="B71" i="5"/>
  <c r="B77" i="5"/>
  <c r="B16" i="5"/>
  <c r="B17" i="5"/>
  <c r="B56" i="5"/>
  <c r="B91" i="5"/>
  <c r="B48" i="5"/>
</calcChain>
</file>

<file path=xl/sharedStrings.xml><?xml version="1.0" encoding="utf-8"?>
<sst xmlns="http://schemas.openxmlformats.org/spreadsheetml/2006/main" count="139" uniqueCount="107">
  <si>
    <t>Nombre:</t>
  </si>
  <si>
    <t>Cultivo:</t>
  </si>
  <si>
    <t>Rut:</t>
  </si>
  <si>
    <t xml:space="preserve">Año </t>
  </si>
  <si>
    <t>Superficie (ha)</t>
  </si>
  <si>
    <t>Terreno</t>
  </si>
  <si>
    <t>valor UF</t>
  </si>
  <si>
    <t>Inversión inicial</t>
  </si>
  <si>
    <t>Subtotal ($/ha)</t>
  </si>
  <si>
    <t>item</t>
  </si>
  <si>
    <t>subtotal (UF/ha)</t>
  </si>
  <si>
    <t>subtotal (UF)</t>
  </si>
  <si>
    <t>Años</t>
  </si>
  <si>
    <t>Fertilizantes</t>
  </si>
  <si>
    <t>Insecticidas</t>
  </si>
  <si>
    <t>UF</t>
  </si>
  <si>
    <t>Total de costos (UF)</t>
  </si>
  <si>
    <t>costos producción</t>
  </si>
  <si>
    <t>$/ha</t>
  </si>
  <si>
    <t>$</t>
  </si>
  <si>
    <t xml:space="preserve"> costo Insumos</t>
  </si>
  <si>
    <t>TOTAL COSTOS DE INSUMOS (UF)</t>
  </si>
  <si>
    <t>Fertilizantes (UF)</t>
  </si>
  <si>
    <t>Costo insumos</t>
  </si>
  <si>
    <t>Costo Mano de obra</t>
  </si>
  <si>
    <t>año</t>
  </si>
  <si>
    <t>imprevistos</t>
  </si>
  <si>
    <t>otros costos</t>
  </si>
  <si>
    <t>Electricidad sistema de riego</t>
  </si>
  <si>
    <t>Flujo de caja de operación (UF)</t>
  </si>
  <si>
    <t>Total de Ingresos (UF)</t>
  </si>
  <si>
    <t>Total de flujo de caja de operación (UF)</t>
  </si>
  <si>
    <t>Evaluación económica de PROYECTO PURO (UF)</t>
  </si>
  <si>
    <t>Flujo de fondos</t>
  </si>
  <si>
    <t>Flujo de caja</t>
  </si>
  <si>
    <t>Tasa de interés</t>
  </si>
  <si>
    <t>Evaluación económica de PROYECTO FINANCIADO (UF)</t>
  </si>
  <si>
    <t>Subsidio</t>
  </si>
  <si>
    <t>Flujo de operación</t>
  </si>
  <si>
    <t>Flujo de caja neto</t>
  </si>
  <si>
    <t>tasa de interés</t>
  </si>
  <si>
    <t>tasa de interés (%real anual)</t>
  </si>
  <si>
    <t>TIR % real anual</t>
  </si>
  <si>
    <t>VAN (UF)</t>
  </si>
  <si>
    <t>Proyecto puro</t>
  </si>
  <si>
    <t>Proyecto financiado</t>
  </si>
  <si>
    <t>Total inversiones</t>
  </si>
  <si>
    <t>prestamo</t>
  </si>
  <si>
    <t>cuotas</t>
  </si>
  <si>
    <t>i</t>
  </si>
  <si>
    <t>mes</t>
  </si>
  <si>
    <t>Préstamo</t>
  </si>
  <si>
    <t>Cuota</t>
  </si>
  <si>
    <t>Amortización</t>
  </si>
  <si>
    <t>interés</t>
  </si>
  <si>
    <t>Deuda pendiente</t>
  </si>
  <si>
    <t>remolacha</t>
  </si>
  <si>
    <t>subsidio CNR (UF)</t>
  </si>
  <si>
    <t>predio</t>
  </si>
  <si>
    <t>PIVOTE</t>
  </si>
  <si>
    <t>BOMBA</t>
  </si>
  <si>
    <t>flujo prestamo BANCO ESTADO</t>
  </si>
  <si>
    <t>OTROS</t>
  </si>
  <si>
    <t>semillas</t>
  </si>
  <si>
    <t>Herbicidas y fungicida</t>
  </si>
  <si>
    <t>total estimado</t>
  </si>
  <si>
    <t>maquinaria</t>
  </si>
  <si>
    <t>mantencion sistema riego</t>
  </si>
  <si>
    <t>flete</t>
  </si>
  <si>
    <t>insecticidas (UF)</t>
  </si>
  <si>
    <t>Herbicidas y fungicidas(UF)</t>
  </si>
  <si>
    <t>otros</t>
  </si>
  <si>
    <t>mano de obra estimado (UF)</t>
  </si>
  <si>
    <t>operación (electricidad/mantención/flete)</t>
  </si>
  <si>
    <t>Precio de Venta ($/T.M.)</t>
  </si>
  <si>
    <t>Producción (T.M./ha)</t>
  </si>
  <si>
    <t>Producción total (T.M.)</t>
  </si>
  <si>
    <t>Ingresos por venta ($)</t>
  </si>
  <si>
    <t>Total ingresos por venta (UF)</t>
  </si>
  <si>
    <t>costo operación/maquinaria/mano de obra</t>
  </si>
  <si>
    <t>TOTAL</t>
  </si>
  <si>
    <t>insumos</t>
  </si>
  <si>
    <t>operación y otros</t>
  </si>
  <si>
    <t>Total costos anuales</t>
  </si>
  <si>
    <t xml:space="preserve">préstamo </t>
  </si>
  <si>
    <t>amortización</t>
  </si>
  <si>
    <t>depreciación anual</t>
  </si>
  <si>
    <t>R.N.O.</t>
  </si>
  <si>
    <t>Utilidad antes impuesto</t>
  </si>
  <si>
    <t>vida contable (años)</t>
  </si>
  <si>
    <t>activo depreciable</t>
  </si>
  <si>
    <t>pivote</t>
  </si>
  <si>
    <t>bomba</t>
  </si>
  <si>
    <t>Inv. Inicial (UF)</t>
  </si>
  <si>
    <t>vida util (años)</t>
  </si>
  <si>
    <t>total</t>
  </si>
  <si>
    <t>tabla depreción anual (UF/AÑO)</t>
  </si>
  <si>
    <t>valor residual final vida útil</t>
  </si>
  <si>
    <t>Valor contable final vida util</t>
  </si>
  <si>
    <t>Resultado no Operacional</t>
  </si>
  <si>
    <t>tasa impuesto a la renta</t>
  </si>
  <si>
    <t>impuesto a la renta calculado</t>
  </si>
  <si>
    <t>crédito tributario</t>
  </si>
  <si>
    <t>impuesto a la renta pagado</t>
  </si>
  <si>
    <t>tabla resultado no operacional</t>
  </si>
  <si>
    <t>otros (UF)</t>
  </si>
  <si>
    <t>imprevistos (UF)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</si>
</sst>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"/>
    <numFmt numFmtId="166" formatCode="_-* #,##0\ _€_-;\-* #,##0\ _€_-;_-* &quot;-&quot;\ _€_-;_-@_-"/>
    <numFmt numFmtId="167" formatCode="_-* #,##0.00\ _€_-;\-* #,##0.00\ _€_-;_-* &quot;-&quot;\ _€_-;_-@_-"/>
    <numFmt numFmtId="168" formatCode="_-&quot;$&quot;\ * #,##0_-;\-&quot;$&quot;\ * #,##0_-;_-&quot;$&quot;\ * &quot;-&quot;??_-;_-@_-"/>
    <numFmt numFmtId="169" formatCode="0.0"/>
    <numFmt numFmtId="170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Cambria"/>
      <family val="1"/>
      <scheme val="maj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top"/>
    </xf>
    <xf numFmtId="0" fontId="5" fillId="2" borderId="1" xfId="4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3" borderId="1" xfId="4" applyFont="1" applyFill="1" applyBorder="1" applyAlignment="1">
      <alignment horizontal="center" vertical="top"/>
    </xf>
    <xf numFmtId="0" fontId="6" fillId="3" borderId="2" xfId="4" applyFont="1" applyFill="1" applyBorder="1" applyAlignment="1">
      <alignment horizontal="center" vertical="center"/>
    </xf>
    <xf numFmtId="4" fontId="6" fillId="3" borderId="1" xfId="4" applyNumberFormat="1" applyFont="1" applyFill="1" applyBorder="1" applyAlignment="1">
      <alignment horizontal="center" vertical="center"/>
    </xf>
    <xf numFmtId="4" fontId="5" fillId="3" borderId="1" xfId="4" applyNumberFormat="1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top"/>
    </xf>
    <xf numFmtId="0" fontId="6" fillId="0" borderId="0" xfId="4" applyFont="1" applyAlignment="1">
      <alignment horizontal="justify" vertical="top"/>
    </xf>
    <xf numFmtId="0" fontId="5" fillId="2" borderId="1" xfId="4" applyFont="1" applyFill="1" applyBorder="1" applyAlignment="1">
      <alignment horizontal="justify" vertical="top"/>
    </xf>
    <xf numFmtId="0" fontId="6" fillId="0" borderId="2" xfId="4" applyFont="1" applyBorder="1" applyAlignment="1">
      <alignment horizontal="left" vertical="center"/>
    </xf>
    <xf numFmtId="0" fontId="2" fillId="0" borderId="0" xfId="0" applyFont="1" applyBorder="1"/>
    <xf numFmtId="2" fontId="2" fillId="0" borderId="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/>
    <xf numFmtId="44" fontId="3" fillId="0" borderId="0" xfId="2" applyNumberFormat="1" applyFont="1" applyBorder="1" applyAlignment="1">
      <alignment horizontal="center"/>
    </xf>
    <xf numFmtId="43" fontId="3" fillId="0" borderId="0" xfId="1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6" xfId="0" applyBorder="1"/>
    <xf numFmtId="1" fontId="0" fillId="0" borderId="16" xfId="0" applyNumberFormat="1" applyBorder="1"/>
    <xf numFmtId="0" fontId="0" fillId="0" borderId="20" xfId="0" applyBorder="1"/>
    <xf numFmtId="1" fontId="0" fillId="0" borderId="20" xfId="0" applyNumberFormat="1" applyBorder="1"/>
    <xf numFmtId="1" fontId="6" fillId="2" borderId="1" xfId="4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6" fillId="0" borderId="20" xfId="4" applyFont="1" applyBorder="1" applyAlignment="1">
      <alignment horizontal="center" vertical="top"/>
    </xf>
    <xf numFmtId="43" fontId="0" fillId="0" borderId="17" xfId="1" applyNumberFormat="1" applyFont="1" applyBorder="1"/>
    <xf numFmtId="43" fontId="0" fillId="0" borderId="18" xfId="1" applyNumberFormat="1" applyFont="1" applyBorder="1"/>
    <xf numFmtId="43" fontId="0" fillId="0" borderId="21" xfId="1" applyNumberFormat="1" applyFont="1" applyBorder="1"/>
    <xf numFmtId="0" fontId="0" fillId="0" borderId="0" xfId="0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top"/>
    </xf>
    <xf numFmtId="1" fontId="0" fillId="0" borderId="0" xfId="0" applyNumberFormat="1" applyBorder="1"/>
    <xf numFmtId="43" fontId="0" fillId="0" borderId="0" xfId="1" applyNumberFormat="1" applyFont="1" applyBorder="1"/>
    <xf numFmtId="0" fontId="0" fillId="0" borderId="9" xfId="0" applyBorder="1" applyAlignment="1">
      <alignment horizontal="center"/>
    </xf>
    <xf numFmtId="165" fontId="6" fillId="0" borderId="1" xfId="4" applyNumberFormat="1" applyFont="1" applyBorder="1" applyAlignment="1">
      <alignment horizontal="center" vertical="center"/>
    </xf>
    <xf numFmtId="4" fontId="6" fillId="0" borderId="1" xfId="4" applyNumberFormat="1" applyFont="1" applyBorder="1" applyAlignment="1">
      <alignment horizontal="center" vertical="center"/>
    </xf>
    <xf numFmtId="165" fontId="5" fillId="2" borderId="1" xfId="4" applyNumberFormat="1" applyFont="1" applyFill="1" applyBorder="1" applyAlignment="1">
      <alignment horizontal="center" vertical="center"/>
    </xf>
    <xf numFmtId="0" fontId="6" fillId="0" borderId="16" xfId="4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/>
    <xf numFmtId="2" fontId="2" fillId="0" borderId="1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5" fillId="2" borderId="1" xfId="4" applyFont="1" applyFill="1" applyBorder="1" applyAlignment="1">
      <alignment horizontal="left"/>
    </xf>
    <xf numFmtId="9" fontId="6" fillId="2" borderId="1" xfId="5" applyFont="1" applyFill="1" applyBorder="1" applyAlignment="1">
      <alignment horizontal="center"/>
    </xf>
    <xf numFmtId="0" fontId="5" fillId="2" borderId="1" xfId="4" applyFont="1" applyFill="1" applyBorder="1"/>
    <xf numFmtId="167" fontId="5" fillId="2" borderId="1" xfId="6" applyNumberFormat="1" applyFont="1" applyFill="1" applyBorder="1"/>
    <xf numFmtId="0" fontId="7" fillId="2" borderId="1" xfId="4" applyFont="1" applyFill="1" applyBorder="1" applyAlignment="1">
      <alignment wrapText="1"/>
    </xf>
    <xf numFmtId="10" fontId="5" fillId="2" borderId="10" xfId="4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9" fontId="0" fillId="0" borderId="0" xfId="3" applyFont="1"/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3" fillId="0" borderId="0" xfId="3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1" xfId="1" applyNumberFormat="1" applyFont="1" applyBorder="1"/>
    <xf numFmtId="0" fontId="0" fillId="0" borderId="1" xfId="0" applyBorder="1" applyAlignment="1">
      <alignment horizontal="right"/>
    </xf>
    <xf numFmtId="43" fontId="0" fillId="0" borderId="0" xfId="0" applyNumberFormat="1"/>
    <xf numFmtId="0" fontId="6" fillId="3" borderId="12" xfId="4" applyFont="1" applyFill="1" applyBorder="1" applyAlignment="1">
      <alignment horizontal="center" vertical="center" wrapText="1"/>
    </xf>
    <xf numFmtId="43" fontId="5" fillId="3" borderId="1" xfId="4" applyNumberFormat="1" applyFont="1" applyFill="1" applyBorder="1" applyAlignment="1">
      <alignment horizontal="center" vertical="top"/>
    </xf>
    <xf numFmtId="0" fontId="6" fillId="0" borderId="10" xfId="4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43" fontId="0" fillId="0" borderId="2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19" xfId="4" applyFont="1" applyFill="1" applyBorder="1" applyAlignment="1">
      <alignment horizontal="center" vertical="top"/>
    </xf>
    <xf numFmtId="4" fontId="5" fillId="2" borderId="20" xfId="4" applyNumberFormat="1" applyFont="1" applyFill="1" applyBorder="1" applyAlignment="1">
      <alignment horizontal="center" vertical="center"/>
    </xf>
    <xf numFmtId="43" fontId="5" fillId="2" borderId="1" xfId="4" applyNumberFormat="1" applyFont="1" applyFill="1" applyBorder="1" applyAlignment="1">
      <alignment horizontal="center" vertical="top"/>
    </xf>
    <xf numFmtId="0" fontId="5" fillId="2" borderId="18" xfId="4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25" xfId="4" applyFont="1" applyBorder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justify" vertical="top"/>
    </xf>
    <xf numFmtId="0" fontId="6" fillId="2" borderId="3" xfId="4" applyFont="1" applyFill="1" applyBorder="1" applyAlignment="1">
      <alignment vertical="center"/>
    </xf>
    <xf numFmtId="170" fontId="0" fillId="0" borderId="1" xfId="1" applyNumberFormat="1" applyFont="1" applyBorder="1"/>
    <xf numFmtId="0" fontId="3" fillId="0" borderId="10" xfId="0" applyFont="1" applyBorder="1"/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23" xfId="0" applyFont="1" applyBorder="1"/>
    <xf numFmtId="0" fontId="6" fillId="0" borderId="26" xfId="4" applyFont="1" applyBorder="1" applyAlignment="1">
      <alignment horizontal="center"/>
    </xf>
    <xf numFmtId="4" fontId="6" fillId="0" borderId="9" xfId="4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top"/>
    </xf>
    <xf numFmtId="0" fontId="5" fillId="2" borderId="11" xfId="4" applyFont="1" applyFill="1" applyBorder="1" applyAlignment="1">
      <alignment horizontal="center" vertical="top"/>
    </xf>
    <xf numFmtId="0" fontId="5" fillId="2" borderId="3" xfId="4" applyFont="1" applyFill="1" applyBorder="1" applyAlignment="1">
      <alignment horizontal="center" vertical="top"/>
    </xf>
    <xf numFmtId="0" fontId="5" fillId="3" borderId="9" xfId="4" applyFont="1" applyFill="1" applyBorder="1" applyAlignment="1">
      <alignment horizontal="center" vertical="center" wrapText="1"/>
    </xf>
    <xf numFmtId="0" fontId="6" fillId="3" borderId="10" xfId="4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horizontal="center" vertical="top"/>
    </xf>
    <xf numFmtId="0" fontId="5" fillId="3" borderId="11" xfId="4" applyFont="1" applyFill="1" applyBorder="1" applyAlignment="1">
      <alignment horizontal="center" vertical="top"/>
    </xf>
    <xf numFmtId="0" fontId="5" fillId="3" borderId="3" xfId="4" applyFont="1" applyFill="1" applyBorder="1" applyAlignment="1">
      <alignment horizontal="center" vertical="top"/>
    </xf>
    <xf numFmtId="0" fontId="5" fillId="2" borderId="16" xfId="4" applyFont="1" applyFill="1" applyBorder="1" applyAlignment="1">
      <alignment horizontal="center" vertical="top"/>
    </xf>
    <xf numFmtId="0" fontId="5" fillId="2" borderId="17" xfId="4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</cellXfs>
  <cellStyles count="7">
    <cellStyle name="Millares" xfId="1" builtinId="3"/>
    <cellStyle name="Millares [0] 2" xfId="6"/>
    <cellStyle name="Moneda" xfId="2" builtinId="4"/>
    <cellStyle name="Normal" xfId="0" builtinId="0"/>
    <cellStyle name="Normal 2" xfId="4"/>
    <cellStyle name="Porcentaje" xfId="3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VAN   &amp;  </a:t>
            </a:r>
            <a:r>
              <a:rPr lang="en-US" baseline="0"/>
              <a:t> </a:t>
            </a:r>
            <a:r>
              <a:rPr lang="en-US"/>
              <a:t>tasa de interés</a:t>
            </a:r>
          </a:p>
        </c:rich>
      </c:tx>
      <c:layout>
        <c:manualLayout>
          <c:xMode val="edge"/>
          <c:yMode val="edge"/>
          <c:x val="0.24356968269297524"/>
          <c:y val="6.8591300214971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76597021587507E-2"/>
          <c:y val="2.2405083244032068E-2"/>
          <c:w val="0.83153393246500051"/>
          <c:h val="0.824018671273467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'ev. económica'!$B$44</c:f>
              <c:strCache>
                <c:ptCount val="1"/>
                <c:pt idx="0">
                  <c:v>Proyecto puro</c:v>
                </c:pt>
              </c:strCache>
            </c:strRef>
          </c:tx>
          <c:xVal>
            <c:numRef>
              <c:f>'ev. económica'!$A$45:$A$95</c:f>
              <c:numCache>
                <c:formatCode>0%</c:formatCode>
                <c:ptCount val="51"/>
                <c:pt idx="0" formatCode="General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</c:numCache>
            </c:numRef>
          </c:xVal>
          <c:yVal>
            <c:numRef>
              <c:f>'ev. económica'!$B$45:$B$95</c:f>
              <c:numCache>
                <c:formatCode>0.00</c:formatCode>
                <c:ptCount val="51"/>
                <c:pt idx="0">
                  <c:v>3338.3267765449145</c:v>
                </c:pt>
                <c:pt idx="1">
                  <c:v>2597.0218711619164</c:v>
                </c:pt>
                <c:pt idx="2">
                  <c:v>1971.6155974284366</c:v>
                </c:pt>
                <c:pt idx="3">
                  <c:v>1440.9561504338872</c:v>
                </c:pt>
                <c:pt idx="4">
                  <c:v>988.17887278915259</c:v>
                </c:pt>
                <c:pt idx="5">
                  <c:v>599.76368917356149</c:v>
                </c:pt>
                <c:pt idx="6">
                  <c:v>264.81425923769802</c:v>
                </c:pt>
                <c:pt idx="7">
                  <c:v>-25.496442387296156</c:v>
                </c:pt>
                <c:pt idx="8">
                  <c:v>-278.35488981131357</c:v>
                </c:pt>
                <c:pt idx="9">
                  <c:v>-499.64035890399737</c:v>
                </c:pt>
                <c:pt idx="10">
                  <c:v>-694.18543817723912</c:v>
                </c:pt>
                <c:pt idx="11">
                  <c:v>-865.9806328178588</c:v>
                </c:pt>
                <c:pt idx="12">
                  <c:v>-1018.3358394335114</c:v>
                </c:pt>
                <c:pt idx="13">
                  <c:v>-1154.0083831060415</c:v>
                </c:pt>
                <c:pt idx="14">
                  <c:v>-1275.3050053627369</c:v>
                </c:pt>
                <c:pt idx="15">
                  <c:v>-1384.1634639324243</c:v>
                </c:pt>
                <c:pt idx="16">
                  <c:v>-1482.2181023282637</c:v>
                </c:pt>
                <c:pt idx="17">
                  <c:v>-1570.8527600101074</c:v>
                </c:pt>
                <c:pt idx="18">
                  <c:v>-1651.2436421006221</c:v>
                </c:pt>
                <c:pt idx="19">
                  <c:v>-1724.3941925042136</c:v>
                </c:pt>
                <c:pt idx="20">
                  <c:v>-1791.1635722968051</c:v>
                </c:pt>
                <c:pt idx="21">
                  <c:v>-1852.2900040944019</c:v>
                </c:pt>
                <c:pt idx="22">
                  <c:v>-1908.4099786399763</c:v>
                </c:pt>
                <c:pt idx="23">
                  <c:v>-1960.0741139750232</c:v>
                </c:pt>
                <c:pt idx="24">
                  <c:v>-2007.7602966503239</c:v>
                </c:pt>
                <c:pt idx="25">
                  <c:v>-2051.8846081627062</c:v>
                </c:pt>
                <c:pt idx="26">
                  <c:v>-2092.8104403398838</c:v>
                </c:pt>
                <c:pt idx="27">
                  <c:v>-2130.8561247496623</c:v>
                </c:pt>
                <c:pt idx="28">
                  <c:v>-2166.3013387973751</c:v>
                </c:pt>
                <c:pt idx="29">
                  <c:v>-2199.3925014683805</c:v>
                </c:pt>
                <c:pt idx="30">
                  <c:v>-2230.3473319462696</c:v>
                </c:pt>
                <c:pt idx="31">
                  <c:v>-2259.3587124797868</c:v>
                </c:pt>
                <c:pt idx="32">
                  <c:v>-2286.5979712387884</c:v>
                </c:pt>
                <c:pt idx="33">
                  <c:v>-2312.2176802085523</c:v>
                </c:pt>
                <c:pt idx="34">
                  <c:v>-2336.3540464165135</c:v>
                </c:pt>
                <c:pt idx="35">
                  <c:v>-2359.128961175345</c:v>
                </c:pt>
                <c:pt idx="36">
                  <c:v>-2380.6517609372531</c:v>
                </c:pt>
                <c:pt idx="37">
                  <c:v>-2401.0207442925534</c:v>
                </c:pt>
                <c:pt idx="38">
                  <c:v>-2420.3244822189022</c:v>
                </c:pt>
                <c:pt idx="39">
                  <c:v>-2438.6429525836456</c:v>
                </c:pt>
                <c:pt idx="40">
                  <c:v>-2456.0485248709865</c:v>
                </c:pt>
                <c:pt idx="41">
                  <c:v>-2472.6068169480995</c:v>
                </c:pt>
                <c:pt idx="42">
                  <c:v>-2488.377442239218</c:v>
                </c:pt>
                <c:pt idx="43">
                  <c:v>-2503.414662814459</c:v>
                </c:pt>
                <c:pt idx="44">
                  <c:v>-2517.767961516096</c:v>
                </c:pt>
                <c:pt idx="45">
                  <c:v>-2531.4825442541901</c:v>
                </c:pt>
                <c:pt idx="46">
                  <c:v>-2544.5997819370186</c:v>
                </c:pt>
                <c:pt idx="47">
                  <c:v>-2557.1576001033791</c:v>
                </c:pt>
                <c:pt idx="48">
                  <c:v>-2569.1908231476609</c:v>
                </c:pt>
                <c:pt idx="49">
                  <c:v>-2580.7314790369892</c:v>
                </c:pt>
                <c:pt idx="50">
                  <c:v>-2591.8090695818764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'ev. económica'!$C$44</c:f>
              <c:strCache>
                <c:ptCount val="1"/>
                <c:pt idx="0">
                  <c:v>Proyecto financiado</c:v>
                </c:pt>
              </c:strCache>
            </c:strRef>
          </c:tx>
          <c:xVal>
            <c:numRef>
              <c:f>'ev. económica'!$A$45:$A$95</c:f>
              <c:numCache>
                <c:formatCode>0%</c:formatCode>
                <c:ptCount val="51"/>
                <c:pt idx="0" formatCode="General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</c:numCache>
            </c:numRef>
          </c:xVal>
          <c:yVal>
            <c:numRef>
              <c:f>'ev. económica'!$C$45:$C$95</c:f>
              <c:numCache>
                <c:formatCode>0.00</c:formatCode>
                <c:ptCount val="51"/>
                <c:pt idx="0">
                  <c:v>3847.9856953458129</c:v>
                </c:pt>
                <c:pt idx="1">
                  <c:v>3197.4093951688756</c:v>
                </c:pt>
                <c:pt idx="2">
                  <c:v>2654.7846107942937</c:v>
                </c:pt>
                <c:pt idx="3">
                  <c:v>2199.8331998192184</c:v>
                </c:pt>
                <c:pt idx="4">
                  <c:v>1816.4513047898149</c:v>
                </c:pt>
                <c:pt idx="5">
                  <c:v>1491.7833378809455</c:v>
                </c:pt>
                <c:pt idx="6">
                  <c:v>1215.5149884221578</c:v>
                </c:pt>
                <c:pt idx="7">
                  <c:v>979.33044226722654</c:v>
                </c:pt>
                <c:pt idx="8">
                  <c:v>776.49342987280943</c:v>
                </c:pt>
                <c:pt idx="9">
                  <c:v>601.52217179754575</c:v>
                </c:pt>
                <c:pt idx="10">
                  <c:v>449.93590882107014</c:v>
                </c:pt>
                <c:pt idx="11">
                  <c:v>318.05629033961009</c:v>
                </c:pt>
                <c:pt idx="12">
                  <c:v>202.851014796252</c:v>
                </c:pt>
                <c:pt idx="13">
                  <c:v>101.81017152516415</c:v>
                </c:pt>
                <c:pt idx="14">
                  <c:v>12.848011800205313</c:v>
                </c:pt>
                <c:pt idx="15">
                  <c:v>-65.775415347670105</c:v>
                </c:pt>
                <c:pt idx="16">
                  <c:v>-135.51704044103883</c:v>
                </c:pt>
                <c:pt idx="17">
                  <c:v>-197.60126793048141</c:v>
                </c:pt>
                <c:pt idx="18">
                  <c:v>-253.06075073338309</c:v>
                </c:pt>
                <c:pt idx="19">
                  <c:v>-302.76944192660062</c:v>
                </c:pt>
                <c:pt idx="20">
                  <c:v>-347.46948604996521</c:v>
                </c:pt>
                <c:pt idx="21">
                  <c:v>-387.79317749065399</c:v>
                </c:pt>
                <c:pt idx="22">
                  <c:v>-424.2809540813862</c:v>
                </c:pt>
                <c:pt idx="23">
                  <c:v>-457.3961924497213</c:v>
                </c:pt>
                <c:pt idx="24">
                  <c:v>-487.53741431947219</c:v>
                </c:pt>
                <c:pt idx="25">
                  <c:v>-515.04838969439982</c:v>
                </c:pt>
                <c:pt idx="26">
                  <c:v>-540.22652590807718</c:v>
                </c:pt>
                <c:pt idx="27">
                  <c:v>-563.32985499976235</c:v>
                </c:pt>
                <c:pt idx="28">
                  <c:v>-584.58287125563595</c:v>
                </c:pt>
                <c:pt idx="29">
                  <c:v>-604.18142256480849</c:v>
                </c:pt>
                <c:pt idx="30">
                  <c:v>-622.29682080068164</c:v>
                </c:pt>
                <c:pt idx="31">
                  <c:v>-639.07930567550693</c:v>
                </c:pt>
                <c:pt idx="32">
                  <c:v>-654.66097181667624</c:v>
                </c:pt>
                <c:pt idx="33">
                  <c:v>-669.15824891951286</c:v>
                </c:pt>
                <c:pt idx="34">
                  <c:v>-682.67400875867156</c:v>
                </c:pt>
                <c:pt idx="35">
                  <c:v>-695.29935981558197</c:v>
                </c:pt>
                <c:pt idx="36">
                  <c:v>-707.11517969356464</c:v>
                </c:pt>
                <c:pt idx="37">
                  <c:v>-718.19342686387768</c:v>
                </c:pt>
                <c:pt idx="38">
                  <c:v>-728.59826623325648</c:v>
                </c:pt>
                <c:pt idx="39">
                  <c:v>-738.38703724287507</c:v>
                </c:pt>
                <c:pt idx="40">
                  <c:v>-747.61108845792251</c:v>
                </c:pt>
                <c:pt idx="41">
                  <c:v>-756.31649869234207</c:v>
                </c:pt>
                <c:pt idx="42">
                  <c:v>-764.54470147930101</c:v>
                </c:pt>
                <c:pt idx="43">
                  <c:v>-772.33302701952607</c:v>
                </c:pt>
                <c:pt idx="44">
                  <c:v>-779.71517351586226</c:v>
                </c:pt>
                <c:pt idx="45">
                  <c:v>-786.72161795162788</c:v>
                </c:pt>
                <c:pt idx="46">
                  <c:v>-793.37997482635251</c:v>
                </c:pt>
                <c:pt idx="47">
                  <c:v>-799.71531007143562</c:v>
                </c:pt>
                <c:pt idx="48">
                  <c:v>-805.75041628626559</c:v>
                </c:pt>
                <c:pt idx="49">
                  <c:v>-811.50605452652144</c:v>
                </c:pt>
                <c:pt idx="50">
                  <c:v>-817.00116711134137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40384"/>
        <c:axId val="98258944"/>
      </c:scatterChart>
      <c:valAx>
        <c:axId val="982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Tasa de interés</a:t>
                </a:r>
              </a:p>
            </c:rich>
          </c:tx>
          <c:layout>
            <c:manualLayout>
              <c:xMode val="edge"/>
              <c:yMode val="edge"/>
              <c:x val="0.79571801932733743"/>
              <c:y val="0.6789803247173785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258944"/>
        <c:crosses val="autoZero"/>
        <c:crossBetween val="midCat"/>
      </c:valAx>
      <c:valAx>
        <c:axId val="982589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VAN (UF)</a:t>
                </a:r>
              </a:p>
            </c:rich>
          </c:tx>
          <c:layout>
            <c:manualLayout>
              <c:xMode val="edge"/>
              <c:yMode val="edge"/>
              <c:x val="0"/>
              <c:y val="6.087422441375784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82403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18274521815968"/>
          <c:y val="0.27987379073680685"/>
          <c:w val="0.16255440913734584"/>
          <c:h val="7.2983285091583056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9525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3"/>
  <sheetViews>
    <sheetView topLeftCell="C30" zoomScale="87" zoomScaleNormal="87" workbookViewId="0">
      <selection activeCell="D24" sqref="D24"/>
    </sheetView>
  </sheetViews>
  <sheetFormatPr baseColWidth="10" defaultRowHeight="15" x14ac:dyDescent="0.25"/>
  <cols>
    <col min="1" max="2" width="11.42578125" style="9"/>
    <col min="3" max="3" width="30.140625" style="9" bestFit="1" customWidth="1"/>
    <col min="4" max="4" width="18.85546875" style="9" customWidth="1"/>
    <col min="5" max="5" width="17.7109375" style="9" bestFit="1" customWidth="1"/>
    <col min="6" max="6" width="22.28515625" style="9" bestFit="1" customWidth="1"/>
    <col min="7" max="7" width="21.42578125" style="9" bestFit="1" customWidth="1"/>
    <col min="8" max="8" width="18.85546875" style="9" customWidth="1"/>
    <col min="9" max="9" width="18" style="9" customWidth="1"/>
    <col min="10" max="10" width="18.42578125" style="9" customWidth="1"/>
    <col min="11" max="16384" width="11.42578125" style="9"/>
  </cols>
  <sheetData>
    <row r="2" spans="3:9" x14ac:dyDescent="0.25">
      <c r="C2" s="9" t="s">
        <v>0</v>
      </c>
    </row>
    <row r="3" spans="3:9" x14ac:dyDescent="0.25">
      <c r="C3" s="9" t="s">
        <v>2</v>
      </c>
    </row>
    <row r="4" spans="3:9" x14ac:dyDescent="0.25">
      <c r="C4" s="9" t="s">
        <v>1</v>
      </c>
      <c r="D4" s="9" t="s">
        <v>56</v>
      </c>
    </row>
    <row r="5" spans="3:9" x14ac:dyDescent="0.25">
      <c r="C5" s="9" t="s">
        <v>4</v>
      </c>
      <c r="D5" s="9">
        <v>33.200000000000003</v>
      </c>
    </row>
    <row r="6" spans="3:9" x14ac:dyDescent="0.25">
      <c r="C6" s="9" t="s">
        <v>3</v>
      </c>
      <c r="D6" s="9">
        <v>2013</v>
      </c>
    </row>
    <row r="7" spans="3:9" x14ac:dyDescent="0.25">
      <c r="C7" s="9" t="s">
        <v>6</v>
      </c>
      <c r="D7" s="30">
        <v>22818.59</v>
      </c>
    </row>
    <row r="8" spans="3:9" x14ac:dyDescent="0.25">
      <c r="C8" s="9" t="s">
        <v>57</v>
      </c>
      <c r="D8" s="85">
        <v>895.83</v>
      </c>
    </row>
    <row r="9" spans="3:9" x14ac:dyDescent="0.25">
      <c r="C9" s="9" t="s">
        <v>41</v>
      </c>
      <c r="D9" s="12">
        <v>0.1</v>
      </c>
    </row>
    <row r="10" spans="3:9" x14ac:dyDescent="0.25">
      <c r="C10" s="9" t="s">
        <v>100</v>
      </c>
      <c r="D10" s="12">
        <v>0.25</v>
      </c>
    </row>
    <row r="11" spans="3:9" x14ac:dyDescent="0.25">
      <c r="C11" s="9" t="s">
        <v>7</v>
      </c>
    </row>
    <row r="12" spans="3:9" x14ac:dyDescent="0.25">
      <c r="C12" s="9" t="s">
        <v>9</v>
      </c>
      <c r="E12" s="9" t="s">
        <v>8</v>
      </c>
      <c r="F12" s="9" t="s">
        <v>10</v>
      </c>
      <c r="G12" s="9" t="s">
        <v>11</v>
      </c>
      <c r="H12" s="112"/>
      <c r="I12" s="112"/>
    </row>
    <row r="13" spans="3:9" x14ac:dyDescent="0.25">
      <c r="C13" s="118" t="s">
        <v>58</v>
      </c>
      <c r="D13" s="118"/>
      <c r="E13" s="86">
        <f>+G13*D7</f>
        <v>24278979.760000002</v>
      </c>
      <c r="F13" s="31">
        <f>+G13/D5</f>
        <v>32.048192771084338</v>
      </c>
      <c r="G13" s="32">
        <v>1064</v>
      </c>
    </row>
    <row r="14" spans="3:9" x14ac:dyDescent="0.25">
      <c r="C14" s="118" t="s">
        <v>59</v>
      </c>
      <c r="D14" s="118"/>
      <c r="E14" s="9">
        <v>39787000</v>
      </c>
      <c r="F14" s="32">
        <f>+G14/$D$5</f>
        <v>52.518740836214292</v>
      </c>
      <c r="G14" s="32">
        <f>+E14/$D$7</f>
        <v>1743.6221957623147</v>
      </c>
    </row>
    <row r="15" spans="3:9" ht="15" customHeight="1" x14ac:dyDescent="0.25">
      <c r="C15" s="75" t="s">
        <v>60</v>
      </c>
      <c r="E15" s="9">
        <v>1246000</v>
      </c>
      <c r="F15" s="32">
        <f>+G15/$D$5</f>
        <v>1.6447168945113484</v>
      </c>
      <c r="G15" s="32">
        <f>+E15/$D$7</f>
        <v>54.60460089777677</v>
      </c>
    </row>
    <row r="16" spans="3:9" ht="15" customHeight="1" x14ac:dyDescent="0.25">
      <c r="C16" s="118" t="s">
        <v>62</v>
      </c>
      <c r="D16" s="118"/>
      <c r="E16" s="9">
        <v>6180000</v>
      </c>
      <c r="F16" s="32">
        <f>+G16/$D$5</f>
        <v>8.1575845971750667</v>
      </c>
      <c r="G16" s="32">
        <f>+E16/$D$7</f>
        <v>270.83180862621225</v>
      </c>
    </row>
    <row r="17" spans="2:8" x14ac:dyDescent="0.25">
      <c r="D17" s="9" t="s">
        <v>46</v>
      </c>
      <c r="E17" s="9">
        <f>SUM(E14:E16)</f>
        <v>47213000</v>
      </c>
      <c r="F17" s="11">
        <f>SUM(F14:F16)</f>
        <v>62.321042327900706</v>
      </c>
      <c r="G17" s="10">
        <f>SUM(G14:G16)</f>
        <v>2069.0586052863036</v>
      </c>
    </row>
    <row r="20" spans="2:8" x14ac:dyDescent="0.25">
      <c r="B20" s="119" t="s">
        <v>61</v>
      </c>
      <c r="C20" s="119"/>
      <c r="D20" s="119"/>
    </row>
    <row r="22" spans="2:8" x14ac:dyDescent="0.25">
      <c r="C22" s="9" t="s">
        <v>47</v>
      </c>
      <c r="D22" s="9">
        <v>1173</v>
      </c>
    </row>
    <row r="23" spans="2:8" x14ac:dyDescent="0.25">
      <c r="C23" s="9" t="s">
        <v>48</v>
      </c>
      <c r="D23" s="9">
        <v>5</v>
      </c>
    </row>
    <row r="24" spans="2:8" x14ac:dyDescent="0.25">
      <c r="C24" s="9" t="s">
        <v>49</v>
      </c>
      <c r="D24" s="83">
        <v>0.13500000000000001</v>
      </c>
    </row>
    <row r="26" spans="2:8" x14ac:dyDescent="0.25">
      <c r="C26" s="9" t="s">
        <v>50</v>
      </c>
      <c r="D26" s="9" t="s">
        <v>51</v>
      </c>
      <c r="E26" s="9" t="s">
        <v>52</v>
      </c>
      <c r="F26" s="9" t="s">
        <v>53</v>
      </c>
      <c r="G26" s="9" t="s">
        <v>54</v>
      </c>
      <c r="H26" s="9" t="s">
        <v>55</v>
      </c>
    </row>
    <row r="27" spans="2:8" x14ac:dyDescent="0.25">
      <c r="C27" s="9">
        <v>0</v>
      </c>
      <c r="D27" s="9">
        <f>+D22</f>
        <v>1173</v>
      </c>
      <c r="H27" s="9">
        <f>+D27</f>
        <v>1173</v>
      </c>
    </row>
    <row r="28" spans="2:8" x14ac:dyDescent="0.25">
      <c r="C28" s="9">
        <v>1</v>
      </c>
      <c r="E28" s="87">
        <f>IF((C28&lt;=$D$23),(+$D$22*(($D$24*(1+$D$24)^$D$23)/((1+$D$24)^$D$23-1))),)</f>
        <v>337.57895498642699</v>
      </c>
      <c r="F28" s="87">
        <f>IF((E28&lt;&gt;0),+E28-G28,)</f>
        <v>179.22395498642697</v>
      </c>
      <c r="G28" s="87">
        <f>IF((E28&lt;&gt;0),(+H27*$D$24),)</f>
        <v>158.35500000000002</v>
      </c>
      <c r="H28" s="87">
        <f>IF((E28&lt;&gt;0),(+H27-F28),)</f>
        <v>993.77604501357303</v>
      </c>
    </row>
    <row r="29" spans="2:8" x14ac:dyDescent="0.25">
      <c r="C29" s="9">
        <v>2</v>
      </c>
      <c r="E29" s="87">
        <f t="shared" ref="E29:E37" si="0">IF((C29&lt;=$D$23),(+$D$22*(($D$24*(1+$D$24)^$D$23)/((1+$D$24)^$D$23-1))),)</f>
        <v>337.57895498642699</v>
      </c>
      <c r="F29" s="87">
        <f t="shared" ref="F29:F37" si="1">IF((E29&lt;&gt;0),+E29-G29,)</f>
        <v>203.41918890959462</v>
      </c>
      <c r="G29" s="87">
        <f t="shared" ref="G29:G37" si="2">IF((E29&lt;&gt;0),(+H28*$D$24),)</f>
        <v>134.15976607683237</v>
      </c>
      <c r="H29" s="87">
        <f t="shared" ref="H29:H37" si="3">IF((E29&lt;&gt;0),(+H28-F29),)</f>
        <v>790.35685610397843</v>
      </c>
    </row>
    <row r="30" spans="2:8" x14ac:dyDescent="0.25">
      <c r="C30" s="9">
        <v>3</v>
      </c>
      <c r="E30" s="87">
        <f t="shared" si="0"/>
        <v>337.57895498642699</v>
      </c>
      <c r="F30" s="87">
        <f t="shared" si="1"/>
        <v>230.8807794123899</v>
      </c>
      <c r="G30" s="87">
        <f t="shared" si="2"/>
        <v>106.69817557403709</v>
      </c>
      <c r="H30" s="87">
        <f t="shared" si="3"/>
        <v>559.47607669158856</v>
      </c>
    </row>
    <row r="31" spans="2:8" x14ac:dyDescent="0.25">
      <c r="C31" s="9">
        <v>4</v>
      </c>
      <c r="E31" s="87">
        <f t="shared" si="0"/>
        <v>337.57895498642699</v>
      </c>
      <c r="F31" s="87">
        <f t="shared" si="1"/>
        <v>262.0496846330625</v>
      </c>
      <c r="G31" s="87">
        <f t="shared" si="2"/>
        <v>75.529270353364467</v>
      </c>
      <c r="H31" s="87">
        <f t="shared" si="3"/>
        <v>297.42639205852606</v>
      </c>
    </row>
    <row r="32" spans="2:8" x14ac:dyDescent="0.25">
      <c r="C32" s="9">
        <v>5</v>
      </c>
      <c r="E32" s="87">
        <f t="shared" si="0"/>
        <v>337.57895498642699</v>
      </c>
      <c r="F32" s="87">
        <f t="shared" si="1"/>
        <v>297.42639205852595</v>
      </c>
      <c r="G32" s="87">
        <f t="shared" si="2"/>
        <v>40.152562927901023</v>
      </c>
      <c r="H32" s="87">
        <f t="shared" si="3"/>
        <v>1.1368683772161603E-13</v>
      </c>
    </row>
    <row r="33" spans="3:10" x14ac:dyDescent="0.25">
      <c r="C33" s="9">
        <v>6</v>
      </c>
      <c r="E33" s="87">
        <f t="shared" si="0"/>
        <v>0</v>
      </c>
      <c r="F33" s="87">
        <f t="shared" si="1"/>
        <v>0</v>
      </c>
      <c r="G33" s="87">
        <f t="shared" si="2"/>
        <v>0</v>
      </c>
      <c r="H33" s="87">
        <f t="shared" si="3"/>
        <v>0</v>
      </c>
    </row>
    <row r="34" spans="3:10" x14ac:dyDescent="0.25">
      <c r="C34" s="9">
        <v>7</v>
      </c>
      <c r="E34" s="87">
        <f t="shared" si="0"/>
        <v>0</v>
      </c>
      <c r="F34" s="87">
        <f t="shared" si="1"/>
        <v>0</v>
      </c>
      <c r="G34" s="87">
        <f t="shared" si="2"/>
        <v>0</v>
      </c>
      <c r="H34" s="87">
        <f t="shared" si="3"/>
        <v>0</v>
      </c>
    </row>
    <row r="35" spans="3:10" x14ac:dyDescent="0.25">
      <c r="C35" s="9">
        <v>8</v>
      </c>
      <c r="E35" s="87">
        <f t="shared" si="0"/>
        <v>0</v>
      </c>
      <c r="F35" s="87">
        <f t="shared" si="1"/>
        <v>0</v>
      </c>
      <c r="G35" s="87">
        <f t="shared" si="2"/>
        <v>0</v>
      </c>
      <c r="H35" s="87">
        <f t="shared" si="3"/>
        <v>0</v>
      </c>
    </row>
    <row r="36" spans="3:10" x14ac:dyDescent="0.25">
      <c r="C36" s="9">
        <v>9</v>
      </c>
      <c r="E36" s="87">
        <f t="shared" si="0"/>
        <v>0</v>
      </c>
      <c r="F36" s="87">
        <f t="shared" si="1"/>
        <v>0</v>
      </c>
      <c r="G36" s="87">
        <f t="shared" si="2"/>
        <v>0</v>
      </c>
      <c r="H36" s="87">
        <f t="shared" si="3"/>
        <v>0</v>
      </c>
    </row>
    <row r="37" spans="3:10" x14ac:dyDescent="0.25">
      <c r="C37" s="9">
        <v>10</v>
      </c>
      <c r="E37" s="87">
        <f t="shared" si="0"/>
        <v>0</v>
      </c>
      <c r="F37" s="87">
        <f t="shared" si="1"/>
        <v>0</v>
      </c>
      <c r="G37" s="87">
        <f t="shared" si="2"/>
        <v>0</v>
      </c>
      <c r="H37" s="87">
        <f t="shared" si="3"/>
        <v>0</v>
      </c>
    </row>
    <row r="38" spans="3:10" ht="15" customHeight="1" x14ac:dyDescent="0.25"/>
    <row r="39" spans="3:10" x14ac:dyDescent="0.25">
      <c r="H39" s="120" t="s">
        <v>97</v>
      </c>
      <c r="I39" s="120" t="s">
        <v>98</v>
      </c>
      <c r="J39" s="120" t="s">
        <v>99</v>
      </c>
    </row>
    <row r="40" spans="3:10" x14ac:dyDescent="0.25">
      <c r="C40" s="9" t="s">
        <v>90</v>
      </c>
      <c r="D40" s="9" t="s">
        <v>93</v>
      </c>
      <c r="E40" s="9" t="s">
        <v>94</v>
      </c>
      <c r="F40" s="9" t="s">
        <v>89</v>
      </c>
      <c r="G40" s="9" t="s">
        <v>86</v>
      </c>
      <c r="H40" s="120"/>
      <c r="I40" s="120"/>
      <c r="J40" s="120"/>
    </row>
    <row r="41" spans="3:10" x14ac:dyDescent="0.25">
      <c r="C41" s="9" t="s">
        <v>91</v>
      </c>
      <c r="D41" s="111">
        <f>+G14</f>
        <v>1743.6221957623147</v>
      </c>
      <c r="E41" s="9">
        <v>10</v>
      </c>
      <c r="F41" s="9">
        <v>10</v>
      </c>
      <c r="G41" s="9">
        <f>+D41/F41</f>
        <v>174.36221957623147</v>
      </c>
      <c r="H41" s="9">
        <v>0</v>
      </c>
      <c r="I41" s="9">
        <f>IF(E41&lt;F41,(D41-G41*E41),0)</f>
        <v>0</v>
      </c>
      <c r="J41" s="9">
        <f>+H41-I41</f>
        <v>0</v>
      </c>
    </row>
    <row r="42" spans="3:10" x14ac:dyDescent="0.25">
      <c r="C42" s="9" t="s">
        <v>92</v>
      </c>
      <c r="D42" s="111">
        <f>+G15</f>
        <v>54.60460089777677</v>
      </c>
      <c r="E42" s="9">
        <v>10</v>
      </c>
      <c r="F42" s="88">
        <v>10</v>
      </c>
      <c r="G42" s="9">
        <f>+D42/F42</f>
        <v>5.4604600897776772</v>
      </c>
      <c r="H42" s="9">
        <v>0</v>
      </c>
      <c r="I42" s="9">
        <f>IF(E42&lt;F42,(D42-G42*E42),0)</f>
        <v>0</v>
      </c>
      <c r="J42" s="9">
        <f>+H42-I42</f>
        <v>0</v>
      </c>
    </row>
    <row r="52" spans="3:12" x14ac:dyDescent="0.25">
      <c r="C52" s="119" t="s">
        <v>96</v>
      </c>
      <c r="D52" s="119"/>
      <c r="E52" s="119"/>
      <c r="F52" s="119"/>
      <c r="G52" s="119" t="s">
        <v>104</v>
      </c>
      <c r="H52" s="119"/>
      <c r="I52" s="119"/>
    </row>
    <row r="53" spans="3:12" x14ac:dyDescent="0.25">
      <c r="C53" s="9" t="s">
        <v>25</v>
      </c>
      <c r="D53" s="9" t="s">
        <v>91</v>
      </c>
      <c r="E53" s="9" t="s">
        <v>92</v>
      </c>
      <c r="F53" s="9" t="s">
        <v>95</v>
      </c>
      <c r="G53" s="9" t="s">
        <v>91</v>
      </c>
      <c r="H53" s="9" t="s">
        <v>92</v>
      </c>
      <c r="I53" s="9" t="s">
        <v>95</v>
      </c>
      <c r="J53" s="88" t="s">
        <v>91</v>
      </c>
      <c r="K53" s="88" t="s">
        <v>92</v>
      </c>
      <c r="L53" s="88" t="s">
        <v>95</v>
      </c>
    </row>
    <row r="54" spans="3:12" x14ac:dyDescent="0.25">
      <c r="C54" s="9">
        <v>1</v>
      </c>
      <c r="D54" s="11">
        <f>IF((C54&lt;=$F$41),+$G$41,0)</f>
        <v>174.36221957623147</v>
      </c>
      <c r="E54" s="11">
        <f>IF((C54&lt;=$F$42),+$G$42,0)</f>
        <v>5.4604600897776772</v>
      </c>
      <c r="F54" s="11">
        <f>+D54+E54</f>
        <v>179.82267966600915</v>
      </c>
      <c r="G54" s="9">
        <f>+IF((C54=$E$41),+$J$41,)</f>
        <v>0</v>
      </c>
      <c r="H54" s="9">
        <f>+IF((C54=$E$42),+$J$42,)</f>
        <v>0</v>
      </c>
      <c r="I54" s="9">
        <f>+G54+H54</f>
        <v>0</v>
      </c>
      <c r="J54" s="88">
        <f>+IF((C54=$E$41),+$H$41,)</f>
        <v>0</v>
      </c>
      <c r="K54" s="88">
        <f>+IF((C54=$E$42),+$H$42,)</f>
        <v>0</v>
      </c>
      <c r="L54" s="88">
        <f>+J54+K54</f>
        <v>0</v>
      </c>
    </row>
    <row r="55" spans="3:12" x14ac:dyDescent="0.25">
      <c r="C55" s="9">
        <v>2</v>
      </c>
      <c r="D55" s="11">
        <f t="shared" ref="D55:D63" si="4">IF((C55&lt;=$F$41),+$G$41,0)</f>
        <v>174.36221957623147</v>
      </c>
      <c r="E55" s="11">
        <f t="shared" ref="E55:E63" si="5">IF((C55&lt;=$F$42),+$G$42,0)</f>
        <v>5.4604600897776772</v>
      </c>
      <c r="F55" s="11">
        <f t="shared" ref="F55:F63" si="6">+D55+E55</f>
        <v>179.82267966600915</v>
      </c>
      <c r="G55" s="9">
        <f t="shared" ref="G55:G63" si="7">+IF((C55=$E$41),+$J$41,)</f>
        <v>0</v>
      </c>
      <c r="H55" s="9">
        <f t="shared" ref="H55:H63" si="8">+IF((C55=$E$42),+$J$42,)</f>
        <v>0</v>
      </c>
      <c r="I55" s="9">
        <f t="shared" ref="I55:I63" si="9">+G55+H55</f>
        <v>0</v>
      </c>
      <c r="J55" s="88">
        <f t="shared" ref="J55:J63" si="10">+IF((C55=$E$41),+$H$41,)</f>
        <v>0</v>
      </c>
      <c r="K55" s="88">
        <f t="shared" ref="K55:K63" si="11">+IF((C55=$E$42),+$H$42,)</f>
        <v>0</v>
      </c>
      <c r="L55" s="88">
        <f t="shared" ref="L55:L63" si="12">+J55+K55</f>
        <v>0</v>
      </c>
    </row>
    <row r="56" spans="3:12" x14ac:dyDescent="0.25">
      <c r="C56" s="9">
        <v>3</v>
      </c>
      <c r="D56" s="11">
        <f t="shared" si="4"/>
        <v>174.36221957623147</v>
      </c>
      <c r="E56" s="11">
        <f t="shared" si="5"/>
        <v>5.4604600897776772</v>
      </c>
      <c r="F56" s="11">
        <f t="shared" si="6"/>
        <v>179.82267966600915</v>
      </c>
      <c r="G56" s="9">
        <f t="shared" si="7"/>
        <v>0</v>
      </c>
      <c r="H56" s="9">
        <f t="shared" si="8"/>
        <v>0</v>
      </c>
      <c r="I56" s="9">
        <f t="shared" si="9"/>
        <v>0</v>
      </c>
      <c r="J56" s="88">
        <f t="shared" si="10"/>
        <v>0</v>
      </c>
      <c r="K56" s="88">
        <f t="shared" si="11"/>
        <v>0</v>
      </c>
      <c r="L56" s="88">
        <f t="shared" si="12"/>
        <v>0</v>
      </c>
    </row>
    <row r="57" spans="3:12" x14ac:dyDescent="0.25">
      <c r="C57" s="9">
        <v>4</v>
      </c>
      <c r="D57" s="11">
        <f t="shared" si="4"/>
        <v>174.36221957623147</v>
      </c>
      <c r="E57" s="11">
        <f t="shared" si="5"/>
        <v>5.4604600897776772</v>
      </c>
      <c r="F57" s="11">
        <f t="shared" si="6"/>
        <v>179.82267966600915</v>
      </c>
      <c r="G57" s="9">
        <f t="shared" si="7"/>
        <v>0</v>
      </c>
      <c r="H57" s="9">
        <f t="shared" si="8"/>
        <v>0</v>
      </c>
      <c r="I57" s="9">
        <f t="shared" si="9"/>
        <v>0</v>
      </c>
      <c r="J57" s="88">
        <f t="shared" si="10"/>
        <v>0</v>
      </c>
      <c r="K57" s="88">
        <f t="shared" si="11"/>
        <v>0</v>
      </c>
      <c r="L57" s="88">
        <f t="shared" si="12"/>
        <v>0</v>
      </c>
    </row>
    <row r="58" spans="3:12" x14ac:dyDescent="0.25">
      <c r="C58" s="9">
        <v>5</v>
      </c>
      <c r="D58" s="11">
        <f t="shared" si="4"/>
        <v>174.36221957623147</v>
      </c>
      <c r="E58" s="11">
        <f t="shared" si="5"/>
        <v>5.4604600897776772</v>
      </c>
      <c r="F58" s="11">
        <f t="shared" si="6"/>
        <v>179.82267966600915</v>
      </c>
      <c r="G58" s="9">
        <f t="shared" si="7"/>
        <v>0</v>
      </c>
      <c r="H58" s="9">
        <f t="shared" si="8"/>
        <v>0</v>
      </c>
      <c r="I58" s="9">
        <f t="shared" si="9"/>
        <v>0</v>
      </c>
      <c r="J58" s="88">
        <f t="shared" si="10"/>
        <v>0</v>
      </c>
      <c r="K58" s="88">
        <f t="shared" si="11"/>
        <v>0</v>
      </c>
      <c r="L58" s="88">
        <f t="shared" si="12"/>
        <v>0</v>
      </c>
    </row>
    <row r="59" spans="3:12" x14ac:dyDescent="0.25">
      <c r="C59" s="9">
        <v>6</v>
      </c>
      <c r="D59" s="11">
        <f t="shared" si="4"/>
        <v>174.36221957623147</v>
      </c>
      <c r="E59" s="11">
        <f t="shared" si="5"/>
        <v>5.4604600897776772</v>
      </c>
      <c r="F59" s="11">
        <f t="shared" si="6"/>
        <v>179.82267966600915</v>
      </c>
      <c r="G59" s="9">
        <f t="shared" si="7"/>
        <v>0</v>
      </c>
      <c r="H59" s="9">
        <f t="shared" si="8"/>
        <v>0</v>
      </c>
      <c r="I59" s="9">
        <f t="shared" si="9"/>
        <v>0</v>
      </c>
      <c r="J59" s="88">
        <f t="shared" si="10"/>
        <v>0</v>
      </c>
      <c r="K59" s="88">
        <f t="shared" si="11"/>
        <v>0</v>
      </c>
      <c r="L59" s="88">
        <f t="shared" si="12"/>
        <v>0</v>
      </c>
    </row>
    <row r="60" spans="3:12" x14ac:dyDescent="0.25">
      <c r="C60" s="9">
        <v>7</v>
      </c>
      <c r="D60" s="11">
        <f t="shared" si="4"/>
        <v>174.36221957623147</v>
      </c>
      <c r="E60" s="11">
        <f t="shared" si="5"/>
        <v>5.4604600897776772</v>
      </c>
      <c r="F60" s="11">
        <f t="shared" si="6"/>
        <v>179.82267966600915</v>
      </c>
      <c r="G60" s="9">
        <f t="shared" si="7"/>
        <v>0</v>
      </c>
      <c r="H60" s="9">
        <f t="shared" si="8"/>
        <v>0</v>
      </c>
      <c r="I60" s="9">
        <f t="shared" si="9"/>
        <v>0</v>
      </c>
      <c r="J60" s="88">
        <f t="shared" si="10"/>
        <v>0</v>
      </c>
      <c r="K60" s="88">
        <f t="shared" si="11"/>
        <v>0</v>
      </c>
      <c r="L60" s="88">
        <f t="shared" si="12"/>
        <v>0</v>
      </c>
    </row>
    <row r="61" spans="3:12" x14ac:dyDescent="0.25">
      <c r="C61" s="9">
        <v>8</v>
      </c>
      <c r="D61" s="11">
        <f t="shared" si="4"/>
        <v>174.36221957623147</v>
      </c>
      <c r="E61" s="11">
        <f t="shared" si="5"/>
        <v>5.4604600897776772</v>
      </c>
      <c r="F61" s="11">
        <f t="shared" si="6"/>
        <v>179.82267966600915</v>
      </c>
      <c r="G61" s="9">
        <f t="shared" si="7"/>
        <v>0</v>
      </c>
      <c r="H61" s="9">
        <f t="shared" si="8"/>
        <v>0</v>
      </c>
      <c r="I61" s="9">
        <f t="shared" si="9"/>
        <v>0</v>
      </c>
      <c r="J61" s="88">
        <f t="shared" si="10"/>
        <v>0</v>
      </c>
      <c r="K61" s="88">
        <f t="shared" si="11"/>
        <v>0</v>
      </c>
      <c r="L61" s="88">
        <f t="shared" si="12"/>
        <v>0</v>
      </c>
    </row>
    <row r="62" spans="3:12" x14ac:dyDescent="0.25">
      <c r="C62" s="9">
        <v>9</v>
      </c>
      <c r="D62" s="11">
        <f t="shared" si="4"/>
        <v>174.36221957623147</v>
      </c>
      <c r="E62" s="11">
        <f t="shared" si="5"/>
        <v>5.4604600897776772</v>
      </c>
      <c r="F62" s="11">
        <f t="shared" si="6"/>
        <v>179.82267966600915</v>
      </c>
      <c r="G62" s="9">
        <f t="shared" si="7"/>
        <v>0</v>
      </c>
      <c r="H62" s="9">
        <f t="shared" si="8"/>
        <v>0</v>
      </c>
      <c r="I62" s="9">
        <f t="shared" si="9"/>
        <v>0</v>
      </c>
      <c r="J62" s="88">
        <f t="shared" si="10"/>
        <v>0</v>
      </c>
      <c r="K62" s="88">
        <f t="shared" si="11"/>
        <v>0</v>
      </c>
      <c r="L62" s="88">
        <f t="shared" si="12"/>
        <v>0</v>
      </c>
    </row>
    <row r="63" spans="3:12" x14ac:dyDescent="0.25">
      <c r="C63" s="9">
        <v>10</v>
      </c>
      <c r="D63" s="11">
        <f t="shared" si="4"/>
        <v>174.36221957623147</v>
      </c>
      <c r="E63" s="11">
        <f t="shared" si="5"/>
        <v>5.4604600897776772</v>
      </c>
      <c r="F63" s="11">
        <f t="shared" si="6"/>
        <v>179.82267966600915</v>
      </c>
      <c r="G63" s="9">
        <f t="shared" si="7"/>
        <v>0</v>
      </c>
      <c r="H63" s="9">
        <f t="shared" si="8"/>
        <v>0</v>
      </c>
      <c r="I63" s="9">
        <f t="shared" si="9"/>
        <v>0</v>
      </c>
      <c r="J63" s="88">
        <f t="shared" si="10"/>
        <v>0</v>
      </c>
      <c r="K63" s="88">
        <f t="shared" si="11"/>
        <v>0</v>
      </c>
      <c r="L63" s="88">
        <f t="shared" si="12"/>
        <v>0</v>
      </c>
    </row>
  </sheetData>
  <mergeCells count="9">
    <mergeCell ref="C13:D13"/>
    <mergeCell ref="C14:D14"/>
    <mergeCell ref="C16:D16"/>
    <mergeCell ref="G52:I52"/>
    <mergeCell ref="J39:J40"/>
    <mergeCell ref="C52:F52"/>
    <mergeCell ref="B20:D20"/>
    <mergeCell ref="H39:H40"/>
    <mergeCell ref="I39:I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" zoomScale="75" zoomScaleNormal="75" workbookViewId="0">
      <selection activeCell="C30" sqref="C30:L32"/>
    </sheetView>
  </sheetViews>
  <sheetFormatPr baseColWidth="10" defaultRowHeight="15" x14ac:dyDescent="0.25"/>
  <cols>
    <col min="2" max="2" width="39" customWidth="1"/>
  </cols>
  <sheetData>
    <row r="1" spans="1:13" x14ac:dyDescent="0.25">
      <c r="B1" t="s">
        <v>17</v>
      </c>
    </row>
    <row r="2" spans="1:13" x14ac:dyDescent="0.25">
      <c r="B2" t="s">
        <v>9</v>
      </c>
      <c r="C2" s="51" t="s">
        <v>18</v>
      </c>
      <c r="D2" s="51" t="s">
        <v>19</v>
      </c>
      <c r="E2" s="51" t="s">
        <v>15</v>
      </c>
    </row>
    <row r="3" spans="1:13" x14ac:dyDescent="0.25">
      <c r="A3" s="125" t="s">
        <v>23</v>
      </c>
      <c r="B3" s="13" t="s">
        <v>63</v>
      </c>
      <c r="C3" s="90">
        <v>150000</v>
      </c>
      <c r="D3" s="35">
        <f>+C3*'identif.+inversiones+prestamos'!$D$5</f>
        <v>4980000</v>
      </c>
      <c r="E3" s="89">
        <f>+D3/'identif.+inversiones+prestamos'!$D$7</f>
        <v>218.24310792209334</v>
      </c>
    </row>
    <row r="4" spans="1:13" ht="15" customHeight="1" x14ac:dyDescent="0.25">
      <c r="A4" s="126"/>
      <c r="B4" s="13" t="s">
        <v>13</v>
      </c>
      <c r="C4" s="34">
        <v>580000</v>
      </c>
      <c r="D4" s="35">
        <f>+C4*'identif.+inversiones+prestamos'!$D$5</f>
        <v>19256000</v>
      </c>
      <c r="E4" s="89">
        <f>+D4/'identif.+inversiones+prestamos'!$D$7</f>
        <v>843.87335063209423</v>
      </c>
    </row>
    <row r="5" spans="1:13" x14ac:dyDescent="0.25">
      <c r="A5" s="126"/>
      <c r="B5" s="13" t="s">
        <v>14</v>
      </c>
      <c r="C5" s="34">
        <v>23000</v>
      </c>
      <c r="D5" s="35">
        <f>+C5*'identif.+inversiones+prestamos'!$D$5</f>
        <v>763600.00000000012</v>
      </c>
      <c r="E5" s="89">
        <f>+D5/'identif.+inversiones+prestamos'!$D$7</f>
        <v>33.463943214720985</v>
      </c>
    </row>
    <row r="6" spans="1:13" x14ac:dyDescent="0.25">
      <c r="A6" s="126"/>
      <c r="B6" s="13" t="s">
        <v>64</v>
      </c>
      <c r="C6" s="34">
        <v>110000</v>
      </c>
      <c r="D6" s="35">
        <f>+C6*'identif.+inversiones+prestamos'!$D$5</f>
        <v>3652000.0000000005</v>
      </c>
      <c r="E6" s="89">
        <f>+D6/'identif.+inversiones+prestamos'!$D$7</f>
        <v>160.04494580953514</v>
      </c>
    </row>
    <row r="7" spans="1:13" x14ac:dyDescent="0.25">
      <c r="A7" s="126"/>
      <c r="B7" s="13" t="s">
        <v>28</v>
      </c>
      <c r="C7" s="34">
        <v>380000</v>
      </c>
      <c r="D7" s="35">
        <f>+C7*'identif.+inversiones+prestamos'!$D$5</f>
        <v>12616000.000000002</v>
      </c>
      <c r="E7" s="89">
        <f>+D7/'identif.+inversiones+prestamos'!$D$7</f>
        <v>552.88254006930322</v>
      </c>
      <c r="G7" s="91"/>
    </row>
    <row r="8" spans="1:13" x14ac:dyDescent="0.25">
      <c r="A8" s="126"/>
      <c r="B8" s="13" t="s">
        <v>67</v>
      </c>
      <c r="C8" s="34">
        <v>28440</v>
      </c>
      <c r="D8" s="35">
        <f>+C8*'identif.+inversiones+prestamos'!$D$5</f>
        <v>944208.00000000012</v>
      </c>
      <c r="E8" s="89">
        <f>+D8/'identif.+inversiones+prestamos'!$D$7</f>
        <v>41.378893262028903</v>
      </c>
    </row>
    <row r="9" spans="1:13" x14ac:dyDescent="0.25">
      <c r="A9" s="127"/>
      <c r="B9" s="13" t="s">
        <v>68</v>
      </c>
      <c r="C9" s="34">
        <v>230000</v>
      </c>
      <c r="D9" s="35">
        <f>+C9*'identif.+inversiones+prestamos'!$D$5</f>
        <v>7636000.0000000009</v>
      </c>
      <c r="E9" s="89">
        <f>+D9/'identif.+inversiones+prestamos'!$D$7</f>
        <v>334.63943214720985</v>
      </c>
    </row>
    <row r="10" spans="1:13" ht="54.75" customHeight="1" thickBot="1" x14ac:dyDescent="0.3">
      <c r="A10" s="81" t="s">
        <v>24</v>
      </c>
      <c r="B10" s="94" t="s">
        <v>65</v>
      </c>
      <c r="C10" s="95">
        <v>485000</v>
      </c>
      <c r="D10" s="96">
        <f>+C10*'identif.+inversiones+prestamos'!$D$5</f>
        <v>16102000.000000002</v>
      </c>
      <c r="E10" s="97">
        <f>+D10/'identif.+inversiones+prestamos'!$D$7</f>
        <v>705.65271561476857</v>
      </c>
      <c r="F10" s="98"/>
    </row>
    <row r="11" spans="1:13" x14ac:dyDescent="0.25">
      <c r="A11" s="121" t="s">
        <v>27</v>
      </c>
      <c r="B11" s="55" t="s">
        <v>66</v>
      </c>
      <c r="C11" s="36">
        <v>280000</v>
      </c>
      <c r="D11" s="37">
        <f>+C11*'identif.+inversiones+prestamos'!$D$5</f>
        <v>9296000</v>
      </c>
      <c r="E11" s="44">
        <f>+D11/'identif.+inversiones+prestamos'!$D$7</f>
        <v>407.3871347879076</v>
      </c>
    </row>
    <row r="12" spans="1:13" x14ac:dyDescent="0.25">
      <c r="A12" s="122"/>
      <c r="B12" s="14" t="s">
        <v>71</v>
      </c>
      <c r="C12" s="34">
        <v>55000</v>
      </c>
      <c r="D12" s="35">
        <f>+C12*'identif.+inversiones+prestamos'!$D$5</f>
        <v>1826000.0000000002</v>
      </c>
      <c r="E12" s="45">
        <f>+D12/'identif.+inversiones+prestamos'!$D$7</f>
        <v>80.022472904767568</v>
      </c>
    </row>
    <row r="13" spans="1:13" ht="15.75" thickBot="1" x14ac:dyDescent="0.3">
      <c r="A13" s="123"/>
      <c r="B13" s="43" t="s">
        <v>26</v>
      </c>
      <c r="C13" s="38">
        <v>14220</v>
      </c>
      <c r="D13" s="39">
        <f>+C13*'identif.+inversiones+prestamos'!$D$5</f>
        <v>472104.00000000006</v>
      </c>
      <c r="E13" s="46">
        <f>+D13/'identif.+inversiones+prestamos'!$D$7</f>
        <v>20.689446631014452</v>
      </c>
    </row>
    <row r="14" spans="1:13" x14ac:dyDescent="0.25">
      <c r="A14" s="47"/>
      <c r="B14" s="48"/>
      <c r="C14" s="41"/>
      <c r="D14" s="49"/>
      <c r="E14" s="50"/>
    </row>
    <row r="15" spans="1:13" x14ac:dyDescent="0.25">
      <c r="A15" s="17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"/>
    </row>
    <row r="16" spans="1:13" x14ac:dyDescent="0.25">
      <c r="A16" s="1"/>
      <c r="B16" s="131" t="s">
        <v>20</v>
      </c>
      <c r="C16" s="133" t="s">
        <v>12</v>
      </c>
      <c r="D16" s="134"/>
      <c r="E16" s="134"/>
      <c r="F16" s="134"/>
      <c r="G16" s="134"/>
      <c r="H16" s="134"/>
      <c r="I16" s="134"/>
      <c r="J16" s="134"/>
      <c r="K16" s="134"/>
      <c r="L16" s="135"/>
      <c r="M16" s="1"/>
    </row>
    <row r="17" spans="1:13" x14ac:dyDescent="0.25">
      <c r="A17" s="1"/>
      <c r="B17" s="132"/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8">
        <v>10</v>
      </c>
      <c r="M17" s="1"/>
    </row>
    <row r="18" spans="1:13" x14ac:dyDescent="0.25">
      <c r="A18" s="1"/>
      <c r="B18" s="92" t="s">
        <v>63</v>
      </c>
      <c r="C18" s="93">
        <f>+$E$3</f>
        <v>218.24310792209334</v>
      </c>
      <c r="D18" s="93">
        <f t="shared" ref="D18:L18" si="0">+$E$3</f>
        <v>218.24310792209334</v>
      </c>
      <c r="E18" s="93">
        <f t="shared" si="0"/>
        <v>218.24310792209334</v>
      </c>
      <c r="F18" s="93">
        <f t="shared" si="0"/>
        <v>218.24310792209334</v>
      </c>
      <c r="G18" s="93">
        <f t="shared" si="0"/>
        <v>218.24310792209334</v>
      </c>
      <c r="H18" s="93">
        <f t="shared" si="0"/>
        <v>218.24310792209334</v>
      </c>
      <c r="I18" s="93">
        <f t="shared" si="0"/>
        <v>218.24310792209334</v>
      </c>
      <c r="J18" s="93">
        <f t="shared" si="0"/>
        <v>218.24310792209334</v>
      </c>
      <c r="K18" s="93">
        <f t="shared" si="0"/>
        <v>218.24310792209334</v>
      </c>
      <c r="L18" s="93">
        <f t="shared" si="0"/>
        <v>218.24310792209334</v>
      </c>
      <c r="M18" s="1"/>
    </row>
    <row r="19" spans="1:13" x14ac:dyDescent="0.25">
      <c r="A19" s="1"/>
      <c r="B19" s="19" t="s">
        <v>22</v>
      </c>
      <c r="C19" s="20">
        <f>+$E$4</f>
        <v>843.87335063209423</v>
      </c>
      <c r="D19" s="20">
        <f t="shared" ref="D19:L19" si="1">+$E$4</f>
        <v>843.87335063209423</v>
      </c>
      <c r="E19" s="20">
        <f t="shared" si="1"/>
        <v>843.87335063209423</v>
      </c>
      <c r="F19" s="20">
        <f t="shared" si="1"/>
        <v>843.87335063209423</v>
      </c>
      <c r="G19" s="20">
        <f t="shared" si="1"/>
        <v>843.87335063209423</v>
      </c>
      <c r="H19" s="20">
        <f t="shared" si="1"/>
        <v>843.87335063209423</v>
      </c>
      <c r="I19" s="20">
        <f t="shared" si="1"/>
        <v>843.87335063209423</v>
      </c>
      <c r="J19" s="20">
        <f t="shared" si="1"/>
        <v>843.87335063209423</v>
      </c>
      <c r="K19" s="20">
        <f t="shared" si="1"/>
        <v>843.87335063209423</v>
      </c>
      <c r="L19" s="20">
        <f t="shared" si="1"/>
        <v>843.87335063209423</v>
      </c>
      <c r="M19" s="1"/>
    </row>
    <row r="20" spans="1:13" x14ac:dyDescent="0.25">
      <c r="A20" s="1"/>
      <c r="B20" s="19" t="s">
        <v>69</v>
      </c>
      <c r="C20" s="20">
        <f>+$E$5</f>
        <v>33.463943214720985</v>
      </c>
      <c r="D20" s="20">
        <f t="shared" ref="D20:L20" si="2">+$E$5</f>
        <v>33.463943214720985</v>
      </c>
      <c r="E20" s="20">
        <f t="shared" si="2"/>
        <v>33.463943214720985</v>
      </c>
      <c r="F20" s="20">
        <f t="shared" si="2"/>
        <v>33.463943214720985</v>
      </c>
      <c r="G20" s="20">
        <f t="shared" si="2"/>
        <v>33.463943214720985</v>
      </c>
      <c r="H20" s="20">
        <f t="shared" si="2"/>
        <v>33.463943214720985</v>
      </c>
      <c r="I20" s="20">
        <f t="shared" si="2"/>
        <v>33.463943214720985</v>
      </c>
      <c r="J20" s="20">
        <f t="shared" si="2"/>
        <v>33.463943214720985</v>
      </c>
      <c r="K20" s="20">
        <f t="shared" si="2"/>
        <v>33.463943214720985</v>
      </c>
      <c r="L20" s="20">
        <f t="shared" si="2"/>
        <v>33.463943214720985</v>
      </c>
      <c r="M20" s="1"/>
    </row>
    <row r="21" spans="1:13" x14ac:dyDescent="0.25">
      <c r="A21" s="1"/>
      <c r="B21" s="19" t="s">
        <v>70</v>
      </c>
      <c r="C21" s="20">
        <f>+$E$6</f>
        <v>160.04494580953514</v>
      </c>
      <c r="D21" s="20">
        <f t="shared" ref="D21:L21" si="3">+$E$6</f>
        <v>160.04494580953514</v>
      </c>
      <c r="E21" s="20">
        <f t="shared" si="3"/>
        <v>160.04494580953514</v>
      </c>
      <c r="F21" s="20">
        <f t="shared" si="3"/>
        <v>160.04494580953514</v>
      </c>
      <c r="G21" s="20">
        <f t="shared" si="3"/>
        <v>160.04494580953514</v>
      </c>
      <c r="H21" s="20">
        <f t="shared" si="3"/>
        <v>160.04494580953514</v>
      </c>
      <c r="I21" s="20">
        <f t="shared" si="3"/>
        <v>160.04494580953514</v>
      </c>
      <c r="J21" s="20">
        <f t="shared" si="3"/>
        <v>160.04494580953514</v>
      </c>
      <c r="K21" s="20">
        <f t="shared" si="3"/>
        <v>160.04494580953514</v>
      </c>
      <c r="L21" s="20">
        <f t="shared" si="3"/>
        <v>160.04494580953514</v>
      </c>
      <c r="M21" s="1"/>
    </row>
    <row r="22" spans="1:13" x14ac:dyDescent="0.25">
      <c r="A22" s="1"/>
      <c r="B22" s="18" t="s">
        <v>21</v>
      </c>
      <c r="C22" s="21">
        <f t="shared" ref="C22:L22" si="4">SUM(C18:C21)</f>
        <v>1255.6253475784438</v>
      </c>
      <c r="D22" s="21">
        <f t="shared" si="4"/>
        <v>1255.6253475784438</v>
      </c>
      <c r="E22" s="21">
        <f t="shared" si="4"/>
        <v>1255.6253475784438</v>
      </c>
      <c r="F22" s="21">
        <f t="shared" si="4"/>
        <v>1255.6253475784438</v>
      </c>
      <c r="G22" s="21">
        <f t="shared" si="4"/>
        <v>1255.6253475784438</v>
      </c>
      <c r="H22" s="21">
        <f t="shared" si="4"/>
        <v>1255.6253475784438</v>
      </c>
      <c r="I22" s="21">
        <f t="shared" si="4"/>
        <v>1255.6253475784438</v>
      </c>
      <c r="J22" s="21">
        <f t="shared" si="4"/>
        <v>1255.6253475784438</v>
      </c>
      <c r="K22" s="21">
        <f t="shared" si="4"/>
        <v>1255.6253475784438</v>
      </c>
      <c r="L22" s="21">
        <f t="shared" si="4"/>
        <v>1255.6253475784438</v>
      </c>
      <c r="M22" s="1"/>
    </row>
    <row r="23" spans="1:13" x14ac:dyDescent="0.25">
      <c r="A23" s="1"/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"/>
    </row>
    <row r="24" spans="1:13" ht="15.75" thickBot="1" x14ac:dyDescent="0.3">
      <c r="A24" s="1"/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"/>
    </row>
    <row r="25" spans="1:13" ht="30" customHeight="1" x14ac:dyDescent="0.25">
      <c r="A25" s="1"/>
      <c r="B25" s="121" t="s">
        <v>79</v>
      </c>
      <c r="C25" s="136" t="s">
        <v>12</v>
      </c>
      <c r="D25" s="136"/>
      <c r="E25" s="136"/>
      <c r="F25" s="136"/>
      <c r="G25" s="136"/>
      <c r="H25" s="136"/>
      <c r="I25" s="136"/>
      <c r="J25" s="136"/>
      <c r="K25" s="136"/>
      <c r="L25" s="137"/>
      <c r="M25" s="1"/>
    </row>
    <row r="26" spans="1:13" x14ac:dyDescent="0.25">
      <c r="A26" s="1"/>
      <c r="B26" s="122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  <c r="J26" s="15">
        <v>8</v>
      </c>
      <c r="K26" s="15">
        <v>9</v>
      </c>
      <c r="L26" s="102">
        <v>10</v>
      </c>
      <c r="M26" s="1"/>
    </row>
    <row r="27" spans="1:13" x14ac:dyDescent="0.25">
      <c r="A27" s="1"/>
      <c r="B27" s="103" t="s">
        <v>66</v>
      </c>
      <c r="C27" s="101">
        <f>+$E$11</f>
        <v>407.3871347879076</v>
      </c>
      <c r="D27" s="101">
        <f t="shared" ref="D27:L27" si="5">+$E$11</f>
        <v>407.3871347879076</v>
      </c>
      <c r="E27" s="101">
        <f t="shared" si="5"/>
        <v>407.3871347879076</v>
      </c>
      <c r="F27" s="101">
        <f t="shared" si="5"/>
        <v>407.3871347879076</v>
      </c>
      <c r="G27" s="101">
        <f t="shared" si="5"/>
        <v>407.3871347879076</v>
      </c>
      <c r="H27" s="101">
        <f t="shared" si="5"/>
        <v>407.3871347879076</v>
      </c>
      <c r="I27" s="101">
        <f t="shared" si="5"/>
        <v>407.3871347879076</v>
      </c>
      <c r="J27" s="101">
        <f t="shared" si="5"/>
        <v>407.3871347879076</v>
      </c>
      <c r="K27" s="101">
        <f t="shared" si="5"/>
        <v>407.3871347879076</v>
      </c>
      <c r="L27" s="101">
        <f t="shared" si="5"/>
        <v>407.3871347879076</v>
      </c>
      <c r="M27" s="1"/>
    </row>
    <row r="28" spans="1:13" x14ac:dyDescent="0.25">
      <c r="A28" s="1"/>
      <c r="B28" s="104" t="s">
        <v>73</v>
      </c>
      <c r="C28" s="101">
        <f>SUM($E$7:$E$9)</f>
        <v>928.90086547854196</v>
      </c>
      <c r="D28" s="101">
        <f t="shared" ref="D28:L28" si="6">SUM($E$7:$E$9)</f>
        <v>928.90086547854196</v>
      </c>
      <c r="E28" s="101">
        <f t="shared" si="6"/>
        <v>928.90086547854196</v>
      </c>
      <c r="F28" s="101">
        <f t="shared" si="6"/>
        <v>928.90086547854196</v>
      </c>
      <c r="G28" s="101">
        <f t="shared" si="6"/>
        <v>928.90086547854196</v>
      </c>
      <c r="H28" s="101">
        <f t="shared" si="6"/>
        <v>928.90086547854196</v>
      </c>
      <c r="I28" s="101">
        <f t="shared" si="6"/>
        <v>928.90086547854196</v>
      </c>
      <c r="J28" s="101">
        <f t="shared" si="6"/>
        <v>928.90086547854196</v>
      </c>
      <c r="K28" s="101">
        <f t="shared" si="6"/>
        <v>928.90086547854196</v>
      </c>
      <c r="L28" s="101">
        <f t="shared" si="6"/>
        <v>928.90086547854196</v>
      </c>
      <c r="M28" s="1"/>
    </row>
    <row r="29" spans="1:13" x14ac:dyDescent="0.25">
      <c r="A29" s="1"/>
      <c r="B29" s="105" t="s">
        <v>72</v>
      </c>
      <c r="C29" s="53">
        <f>+$E$10</f>
        <v>705.65271561476857</v>
      </c>
      <c r="D29" s="53">
        <f t="shared" ref="D29:L29" si="7">+$E$10</f>
        <v>705.65271561476857</v>
      </c>
      <c r="E29" s="53">
        <f t="shared" si="7"/>
        <v>705.65271561476857</v>
      </c>
      <c r="F29" s="53">
        <f t="shared" si="7"/>
        <v>705.65271561476857</v>
      </c>
      <c r="G29" s="53">
        <f t="shared" si="7"/>
        <v>705.65271561476857</v>
      </c>
      <c r="H29" s="53">
        <f t="shared" si="7"/>
        <v>705.65271561476857</v>
      </c>
      <c r="I29" s="53">
        <f t="shared" si="7"/>
        <v>705.65271561476857</v>
      </c>
      <c r="J29" s="53">
        <f t="shared" si="7"/>
        <v>705.65271561476857</v>
      </c>
      <c r="K29" s="53">
        <f t="shared" si="7"/>
        <v>705.65271561476857</v>
      </c>
      <c r="L29" s="53">
        <f t="shared" si="7"/>
        <v>705.65271561476857</v>
      </c>
      <c r="M29" s="1"/>
    </row>
    <row r="30" spans="1:13" x14ac:dyDescent="0.25">
      <c r="A30" s="1"/>
      <c r="B30" s="116" t="s">
        <v>105</v>
      </c>
      <c r="C30" s="117">
        <f>+$E$12</f>
        <v>80.022472904767568</v>
      </c>
      <c r="D30" s="117">
        <f t="shared" ref="D30:L30" si="8">+$E$12</f>
        <v>80.022472904767568</v>
      </c>
      <c r="E30" s="117">
        <f t="shared" si="8"/>
        <v>80.022472904767568</v>
      </c>
      <c r="F30" s="117">
        <f t="shared" si="8"/>
        <v>80.022472904767568</v>
      </c>
      <c r="G30" s="117">
        <f t="shared" si="8"/>
        <v>80.022472904767568</v>
      </c>
      <c r="H30" s="117">
        <f t="shared" si="8"/>
        <v>80.022472904767568</v>
      </c>
      <c r="I30" s="117">
        <f t="shared" si="8"/>
        <v>80.022472904767568</v>
      </c>
      <c r="J30" s="117">
        <f t="shared" si="8"/>
        <v>80.022472904767568</v>
      </c>
      <c r="K30" s="117">
        <f t="shared" si="8"/>
        <v>80.022472904767568</v>
      </c>
      <c r="L30" s="117">
        <f t="shared" si="8"/>
        <v>80.022472904767568</v>
      </c>
      <c r="M30" s="1"/>
    </row>
    <row r="31" spans="1:13" x14ac:dyDescent="0.25">
      <c r="A31" s="1"/>
      <c r="B31" s="116" t="s">
        <v>106</v>
      </c>
      <c r="C31" s="117">
        <f>+$E$13</f>
        <v>20.689446631014452</v>
      </c>
      <c r="D31" s="117">
        <f t="shared" ref="D31:L31" si="9">+$E$13</f>
        <v>20.689446631014452</v>
      </c>
      <c r="E31" s="117">
        <f t="shared" si="9"/>
        <v>20.689446631014452</v>
      </c>
      <c r="F31" s="117">
        <f t="shared" si="9"/>
        <v>20.689446631014452</v>
      </c>
      <c r="G31" s="117">
        <f t="shared" si="9"/>
        <v>20.689446631014452</v>
      </c>
      <c r="H31" s="117">
        <f t="shared" si="9"/>
        <v>20.689446631014452</v>
      </c>
      <c r="I31" s="117">
        <f t="shared" si="9"/>
        <v>20.689446631014452</v>
      </c>
      <c r="J31" s="117">
        <f t="shared" si="9"/>
        <v>20.689446631014452</v>
      </c>
      <c r="K31" s="117">
        <f t="shared" si="9"/>
        <v>20.689446631014452</v>
      </c>
      <c r="L31" s="117">
        <f t="shared" si="9"/>
        <v>20.689446631014452</v>
      </c>
      <c r="M31" s="1"/>
    </row>
    <row r="32" spans="1:13" ht="15.75" thickBot="1" x14ac:dyDescent="0.3">
      <c r="A32" s="1"/>
      <c r="B32" s="99" t="s">
        <v>80</v>
      </c>
      <c r="C32" s="100">
        <f>SUM(C27:C31)</f>
        <v>2142.6526354170005</v>
      </c>
      <c r="D32" s="100">
        <f t="shared" ref="D32:L32" si="10">SUM(D27:D31)</f>
        <v>2142.6526354170005</v>
      </c>
      <c r="E32" s="100">
        <f t="shared" si="10"/>
        <v>2142.6526354170005</v>
      </c>
      <c r="F32" s="100">
        <f t="shared" si="10"/>
        <v>2142.6526354170005</v>
      </c>
      <c r="G32" s="100">
        <f t="shared" si="10"/>
        <v>2142.6526354170005</v>
      </c>
      <c r="H32" s="100">
        <f t="shared" si="10"/>
        <v>2142.6526354170005</v>
      </c>
      <c r="I32" s="100">
        <f t="shared" si="10"/>
        <v>2142.6526354170005</v>
      </c>
      <c r="J32" s="100">
        <f t="shared" si="10"/>
        <v>2142.6526354170005</v>
      </c>
      <c r="K32" s="100">
        <f t="shared" si="10"/>
        <v>2142.6526354170005</v>
      </c>
      <c r="L32" s="100">
        <f t="shared" si="10"/>
        <v>2142.6526354170005</v>
      </c>
      <c r="M32" s="1"/>
    </row>
    <row r="33" spans="1:13" x14ac:dyDescent="0.25">
      <c r="A33" s="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"/>
    </row>
    <row r="34" spans="1:13" x14ac:dyDescent="0.25">
      <c r="A34" s="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"/>
    </row>
    <row r="35" spans="1:13" x14ac:dyDescent="0.2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"/>
    </row>
    <row r="36" spans="1:13" x14ac:dyDescent="0.25">
      <c r="A36" s="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"/>
    </row>
    <row r="37" spans="1:13" x14ac:dyDescent="0.25">
      <c r="A37" s="17"/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"/>
    </row>
    <row r="38" spans="1:13" x14ac:dyDescent="0.25">
      <c r="A38" s="1"/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"/>
    </row>
    <row r="39" spans="1:13" x14ac:dyDescent="0.25">
      <c r="A39" s="1"/>
      <c r="B39" s="23"/>
      <c r="C39" s="128" t="s">
        <v>12</v>
      </c>
      <c r="D39" s="129"/>
      <c r="E39" s="129"/>
      <c r="F39" s="129"/>
      <c r="G39" s="129"/>
      <c r="H39" s="129"/>
      <c r="I39" s="129"/>
      <c r="J39" s="129"/>
      <c r="K39" s="129"/>
      <c r="L39" s="130"/>
      <c r="M39" s="1"/>
    </row>
    <row r="40" spans="1:13" x14ac:dyDescent="0.25">
      <c r="A40" s="1"/>
      <c r="B40" s="24"/>
      <c r="C40" s="22">
        <v>1</v>
      </c>
      <c r="D40" s="22">
        <v>2</v>
      </c>
      <c r="E40" s="22">
        <v>3</v>
      </c>
      <c r="F40" s="22">
        <v>4</v>
      </c>
      <c r="G40" s="22">
        <v>5</v>
      </c>
      <c r="H40" s="22">
        <v>6</v>
      </c>
      <c r="I40" s="22">
        <v>7</v>
      </c>
      <c r="J40" s="22">
        <v>8</v>
      </c>
      <c r="K40" s="22">
        <v>9</v>
      </c>
      <c r="L40" s="22">
        <v>10</v>
      </c>
      <c r="M40" s="1"/>
    </row>
    <row r="41" spans="1:13" x14ac:dyDescent="0.25">
      <c r="A41" s="1"/>
      <c r="B41" s="25" t="s">
        <v>81</v>
      </c>
      <c r="C41" s="52">
        <f>+C22</f>
        <v>1255.6253475784438</v>
      </c>
      <c r="D41" s="52">
        <f t="shared" ref="D41:L41" si="11">+D22</f>
        <v>1255.6253475784438</v>
      </c>
      <c r="E41" s="52">
        <f t="shared" si="11"/>
        <v>1255.6253475784438</v>
      </c>
      <c r="F41" s="52">
        <f t="shared" si="11"/>
        <v>1255.6253475784438</v>
      </c>
      <c r="G41" s="52">
        <f t="shared" si="11"/>
        <v>1255.6253475784438</v>
      </c>
      <c r="H41" s="52">
        <f t="shared" si="11"/>
        <v>1255.6253475784438</v>
      </c>
      <c r="I41" s="52">
        <f t="shared" si="11"/>
        <v>1255.6253475784438</v>
      </c>
      <c r="J41" s="52">
        <f t="shared" si="11"/>
        <v>1255.6253475784438</v>
      </c>
      <c r="K41" s="52">
        <f t="shared" si="11"/>
        <v>1255.6253475784438</v>
      </c>
      <c r="L41" s="52">
        <f t="shared" si="11"/>
        <v>1255.6253475784438</v>
      </c>
      <c r="M41" s="1"/>
    </row>
    <row r="42" spans="1:13" x14ac:dyDescent="0.25">
      <c r="A42" s="1"/>
      <c r="B42" s="25" t="s">
        <v>82</v>
      </c>
      <c r="C42" s="52">
        <f>+C32</f>
        <v>2142.6526354170005</v>
      </c>
      <c r="D42" s="52">
        <f t="shared" ref="D42:L42" si="12">+D32</f>
        <v>2142.6526354170005</v>
      </c>
      <c r="E42" s="52">
        <f t="shared" si="12"/>
        <v>2142.6526354170005</v>
      </c>
      <c r="F42" s="52">
        <f t="shared" si="12"/>
        <v>2142.6526354170005</v>
      </c>
      <c r="G42" s="52">
        <f t="shared" si="12"/>
        <v>2142.6526354170005</v>
      </c>
      <c r="H42" s="52">
        <f t="shared" si="12"/>
        <v>2142.6526354170005</v>
      </c>
      <c r="I42" s="52">
        <f t="shared" si="12"/>
        <v>2142.6526354170005</v>
      </c>
      <c r="J42" s="52">
        <f t="shared" si="12"/>
        <v>2142.6526354170005</v>
      </c>
      <c r="K42" s="52">
        <f t="shared" si="12"/>
        <v>2142.6526354170005</v>
      </c>
      <c r="L42" s="52">
        <f t="shared" si="12"/>
        <v>2142.6526354170005</v>
      </c>
      <c r="M42" s="1"/>
    </row>
    <row r="43" spans="1:13" x14ac:dyDescent="0.25">
      <c r="A43" s="1"/>
      <c r="B43" s="24" t="s">
        <v>83</v>
      </c>
      <c r="C43" s="54">
        <f t="shared" ref="C43:L43" si="13">SUM(C41:C42)</f>
        <v>3398.2779829954443</v>
      </c>
      <c r="D43" s="54">
        <f t="shared" si="13"/>
        <v>3398.2779829954443</v>
      </c>
      <c r="E43" s="54">
        <f t="shared" si="13"/>
        <v>3398.2779829954443</v>
      </c>
      <c r="F43" s="54">
        <f t="shared" si="13"/>
        <v>3398.2779829954443</v>
      </c>
      <c r="G43" s="54">
        <f t="shared" si="13"/>
        <v>3398.2779829954443</v>
      </c>
      <c r="H43" s="54">
        <f t="shared" si="13"/>
        <v>3398.2779829954443</v>
      </c>
      <c r="I43" s="54">
        <f t="shared" si="13"/>
        <v>3398.2779829954443</v>
      </c>
      <c r="J43" s="54">
        <f t="shared" si="13"/>
        <v>3398.2779829954443</v>
      </c>
      <c r="K43" s="54">
        <f t="shared" si="13"/>
        <v>3398.2779829954443</v>
      </c>
      <c r="L43" s="54">
        <f t="shared" si="13"/>
        <v>3398.2779829954443</v>
      </c>
      <c r="M43" s="1"/>
    </row>
    <row r="44" spans="1:13" x14ac:dyDescent="0.25">
      <c r="A44" s="1"/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"/>
    </row>
  </sheetData>
  <mergeCells count="8">
    <mergeCell ref="A11:A13"/>
    <mergeCell ref="B15:L15"/>
    <mergeCell ref="A3:A9"/>
    <mergeCell ref="C39:L39"/>
    <mergeCell ref="B16:B17"/>
    <mergeCell ref="C16:L16"/>
    <mergeCell ref="B25:B26"/>
    <mergeCell ref="C25:L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8" zoomScaleNormal="98" workbookViewId="0">
      <selection activeCell="C3" sqref="C3"/>
    </sheetView>
  </sheetViews>
  <sheetFormatPr baseColWidth="10" defaultRowHeight="15" x14ac:dyDescent="0.25"/>
  <cols>
    <col min="2" max="2" width="34.85546875" customWidth="1"/>
    <col min="4" max="4" width="14" customWidth="1"/>
    <col min="6" max="12" width="12.140625" bestFit="1" customWidth="1"/>
  </cols>
  <sheetData>
    <row r="1" spans="1:12" x14ac:dyDescent="0.25">
      <c r="A1" s="139" t="str">
        <f>+'identif.+inversiones+prestamos'!D4</f>
        <v>remolacha</v>
      </c>
      <c r="B1" s="82" t="s">
        <v>74</v>
      </c>
      <c r="C1" s="34">
        <v>31000</v>
      </c>
    </row>
    <row r="2" spans="1:12" x14ac:dyDescent="0.25">
      <c r="A2" s="140"/>
      <c r="B2" s="106" t="s">
        <v>75</v>
      </c>
      <c r="C2" s="80">
        <v>90</v>
      </c>
    </row>
    <row r="3" spans="1:12" x14ac:dyDescent="0.25">
      <c r="A3" s="78"/>
      <c r="B3" s="79"/>
      <c r="C3" s="41"/>
    </row>
    <row r="4" spans="1:12" x14ac:dyDescent="0.25">
      <c r="C4" s="138" t="s">
        <v>25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1:12" x14ac:dyDescent="0.25">
      <c r="B5" s="107"/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>
        <v>6</v>
      </c>
      <c r="I5" s="51">
        <v>7</v>
      </c>
      <c r="J5" s="51">
        <v>8</v>
      </c>
      <c r="K5" s="51">
        <v>9</v>
      </c>
      <c r="L5" s="51">
        <v>10</v>
      </c>
    </row>
    <row r="6" spans="1:12" x14ac:dyDescent="0.25">
      <c r="A6" s="141" t="str">
        <f>+'identif.+inversiones+prestamos'!D4</f>
        <v>remolacha</v>
      </c>
      <c r="B6" s="108" t="s">
        <v>76</v>
      </c>
      <c r="C6" s="40">
        <f>+$C$2*'identif.+inversiones+prestamos'!$D$5</f>
        <v>2988.0000000000005</v>
      </c>
      <c r="D6" s="40">
        <f>+$C$2*'identif.+inversiones+prestamos'!$D$5</f>
        <v>2988.0000000000005</v>
      </c>
      <c r="E6" s="40">
        <f>+$C$2*'identif.+inversiones+prestamos'!$D$5</f>
        <v>2988.0000000000005</v>
      </c>
      <c r="F6" s="40">
        <f>+$C$2*'identif.+inversiones+prestamos'!$D$5</f>
        <v>2988.0000000000005</v>
      </c>
      <c r="G6" s="40">
        <f>+$C$2*'identif.+inversiones+prestamos'!$D$5</f>
        <v>2988.0000000000005</v>
      </c>
      <c r="H6" s="40">
        <f>+$C$2*'identif.+inversiones+prestamos'!$D$5</f>
        <v>2988.0000000000005</v>
      </c>
      <c r="I6" s="40">
        <f>+$C$2*'identif.+inversiones+prestamos'!$D$5</f>
        <v>2988.0000000000005</v>
      </c>
      <c r="J6" s="40">
        <f>+$C$2*'identif.+inversiones+prestamos'!$D$5</f>
        <v>2988.0000000000005</v>
      </c>
      <c r="K6" s="40">
        <f>+$C$2*'identif.+inversiones+prestamos'!$D$5</f>
        <v>2988.0000000000005</v>
      </c>
      <c r="L6" s="40">
        <f>+$C$2*'identif.+inversiones+prestamos'!$D$5</f>
        <v>2988.0000000000005</v>
      </c>
    </row>
    <row r="7" spans="1:12" x14ac:dyDescent="0.25">
      <c r="A7" s="141"/>
      <c r="B7" s="108" t="s">
        <v>77</v>
      </c>
      <c r="C7" s="40">
        <f>+C6*$C$1</f>
        <v>92628000.000000015</v>
      </c>
      <c r="D7" s="40">
        <f t="shared" ref="D7:L7" si="0">+D6*$C$1</f>
        <v>92628000.000000015</v>
      </c>
      <c r="E7" s="40">
        <f t="shared" si="0"/>
        <v>92628000.000000015</v>
      </c>
      <c r="F7" s="40">
        <f t="shared" si="0"/>
        <v>92628000.000000015</v>
      </c>
      <c r="G7" s="40">
        <f t="shared" si="0"/>
        <v>92628000.000000015</v>
      </c>
      <c r="H7" s="40">
        <f t="shared" si="0"/>
        <v>92628000.000000015</v>
      </c>
      <c r="I7" s="40">
        <f t="shared" si="0"/>
        <v>92628000.000000015</v>
      </c>
      <c r="J7" s="40">
        <f t="shared" si="0"/>
        <v>92628000.000000015</v>
      </c>
      <c r="K7" s="40">
        <f t="shared" si="0"/>
        <v>92628000.000000015</v>
      </c>
      <c r="L7" s="40">
        <f t="shared" si="0"/>
        <v>92628000.000000015</v>
      </c>
    </row>
    <row r="8" spans="1:12" x14ac:dyDescent="0.25">
      <c r="A8" s="141"/>
      <c r="B8" s="42" t="s">
        <v>78</v>
      </c>
      <c r="C8" s="109">
        <f>+C7/'identif.+inversiones+prestamos'!$D$7</f>
        <v>4059.321807350937</v>
      </c>
      <c r="D8" s="109">
        <f>+D7/'identif.+inversiones+prestamos'!$D$7</f>
        <v>4059.321807350937</v>
      </c>
      <c r="E8" s="109">
        <f>+E7/'identif.+inversiones+prestamos'!$D$7</f>
        <v>4059.321807350937</v>
      </c>
      <c r="F8" s="109">
        <f>+F7/'identif.+inversiones+prestamos'!$D$7</f>
        <v>4059.321807350937</v>
      </c>
      <c r="G8" s="109">
        <f>+G7/'identif.+inversiones+prestamos'!$D$7</f>
        <v>4059.321807350937</v>
      </c>
      <c r="H8" s="109">
        <f>+H7/'identif.+inversiones+prestamos'!$D$7</f>
        <v>4059.321807350937</v>
      </c>
      <c r="I8" s="109">
        <f>+I7/'identif.+inversiones+prestamos'!$D$7</f>
        <v>4059.321807350937</v>
      </c>
      <c r="J8" s="109">
        <f>+J7/'identif.+inversiones+prestamos'!$D$7</f>
        <v>4059.321807350937</v>
      </c>
      <c r="K8" s="109">
        <f>+K7/'identif.+inversiones+prestamos'!$D$7</f>
        <v>4059.321807350937</v>
      </c>
      <c r="L8" s="109">
        <f>+L7/'identif.+inversiones+prestamos'!$D$7</f>
        <v>4059.321807350937</v>
      </c>
    </row>
    <row r="10" spans="1:12" x14ac:dyDescent="0.25">
      <c r="B10" s="1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x14ac:dyDescent="0.25"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</row>
  </sheetData>
  <mergeCells count="3">
    <mergeCell ref="C4:L4"/>
    <mergeCell ref="A1:A2"/>
    <mergeCell ref="A6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E11" sqref="E11"/>
    </sheetView>
  </sheetViews>
  <sheetFormatPr baseColWidth="10" defaultRowHeight="15" x14ac:dyDescent="0.25"/>
  <cols>
    <col min="1" max="1" width="41.42578125" bestFit="1" customWidth="1"/>
    <col min="2" max="2" width="9.42578125" customWidth="1"/>
    <col min="3" max="11" width="12" customWidth="1"/>
  </cols>
  <sheetData>
    <row r="1" spans="1:12" x14ac:dyDescent="0.25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"/>
    </row>
    <row r="2" spans="1:12" s="41" customFormat="1" x14ac:dyDescent="0.25">
      <c r="A2" s="26"/>
      <c r="B2" s="143" t="s">
        <v>12</v>
      </c>
      <c r="C2" s="143"/>
      <c r="D2" s="143"/>
      <c r="E2" s="143"/>
      <c r="F2" s="143"/>
      <c r="G2" s="143"/>
      <c r="H2" s="143"/>
      <c r="I2" s="143"/>
      <c r="J2" s="143"/>
      <c r="K2" s="143"/>
      <c r="L2" s="26"/>
    </row>
    <row r="3" spans="1:12" s="41" customFormat="1" x14ac:dyDescent="0.25">
      <c r="A3" s="59" t="s">
        <v>29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26"/>
    </row>
    <row r="4" spans="1:12" s="41" customFormat="1" x14ac:dyDescent="0.25">
      <c r="A4" s="56" t="s">
        <v>30</v>
      </c>
      <c r="B4" s="60">
        <f>+'produccion-ventas'!C8</f>
        <v>4059.321807350937</v>
      </c>
      <c r="C4" s="60">
        <f>+'produccion-ventas'!D8</f>
        <v>4059.321807350937</v>
      </c>
      <c r="D4" s="60">
        <f>+'produccion-ventas'!E8</f>
        <v>4059.321807350937</v>
      </c>
      <c r="E4" s="60">
        <f>+'produccion-ventas'!F8</f>
        <v>4059.321807350937</v>
      </c>
      <c r="F4" s="60">
        <f>+'produccion-ventas'!G8</f>
        <v>4059.321807350937</v>
      </c>
      <c r="G4" s="60">
        <f>+'produccion-ventas'!H8</f>
        <v>4059.321807350937</v>
      </c>
      <c r="H4" s="60">
        <f>+'produccion-ventas'!I8</f>
        <v>4059.321807350937</v>
      </c>
      <c r="I4" s="60">
        <f>+'produccion-ventas'!J8</f>
        <v>4059.321807350937</v>
      </c>
      <c r="J4" s="60">
        <f>+'produccion-ventas'!K8</f>
        <v>4059.321807350937</v>
      </c>
      <c r="K4" s="60">
        <f>+'produccion-ventas'!L8</f>
        <v>4059.321807350937</v>
      </c>
      <c r="L4" s="26"/>
    </row>
    <row r="5" spans="1:12" s="41" customFormat="1" x14ac:dyDescent="0.25">
      <c r="A5" s="3" t="s">
        <v>16</v>
      </c>
      <c r="B5" s="60">
        <f>-Costos!C43</f>
        <v>-3398.2779829954443</v>
      </c>
      <c r="C5" s="60">
        <f>-Costos!D43</f>
        <v>-3398.2779829954443</v>
      </c>
      <c r="D5" s="60">
        <f>-Costos!E43</f>
        <v>-3398.2779829954443</v>
      </c>
      <c r="E5" s="60">
        <f>-Costos!F43</f>
        <v>-3398.2779829954443</v>
      </c>
      <c r="F5" s="60">
        <f>-Costos!G43</f>
        <v>-3398.2779829954443</v>
      </c>
      <c r="G5" s="60">
        <f>-Costos!H43</f>
        <v>-3398.2779829954443</v>
      </c>
      <c r="H5" s="60">
        <f>-Costos!I43</f>
        <v>-3398.2779829954443</v>
      </c>
      <c r="I5" s="60">
        <f>-Costos!J43</f>
        <v>-3398.2779829954443</v>
      </c>
      <c r="J5" s="60">
        <f>-Costos!K43</f>
        <v>-3398.2779829954443</v>
      </c>
      <c r="K5" s="60">
        <f>-Costos!L43</f>
        <v>-3398.2779829954443</v>
      </c>
      <c r="L5" s="26"/>
    </row>
    <row r="6" spans="1:12" s="41" customFormat="1" x14ac:dyDescent="0.25">
      <c r="A6" s="57" t="s">
        <v>31</v>
      </c>
      <c r="B6" s="60">
        <f>+B4+B5</f>
        <v>661.04382435549269</v>
      </c>
      <c r="C6" s="60">
        <f t="shared" ref="C6:K6" si="0">+C4+C5</f>
        <v>661.04382435549269</v>
      </c>
      <c r="D6" s="60">
        <f t="shared" si="0"/>
        <v>661.04382435549269</v>
      </c>
      <c r="E6" s="60">
        <f t="shared" si="0"/>
        <v>661.04382435549269</v>
      </c>
      <c r="F6" s="60">
        <f t="shared" si="0"/>
        <v>661.04382435549269</v>
      </c>
      <c r="G6" s="60">
        <f t="shared" si="0"/>
        <v>661.04382435549269</v>
      </c>
      <c r="H6" s="60">
        <f t="shared" si="0"/>
        <v>661.04382435549269</v>
      </c>
      <c r="I6" s="60">
        <f t="shared" si="0"/>
        <v>661.04382435549269</v>
      </c>
      <c r="J6" s="60">
        <f t="shared" si="0"/>
        <v>661.04382435549269</v>
      </c>
      <c r="K6" s="60">
        <f t="shared" si="0"/>
        <v>661.04382435549269</v>
      </c>
      <c r="L6" s="26"/>
    </row>
    <row r="7" spans="1:12" s="41" customFormat="1" x14ac:dyDescent="0.25">
      <c r="L7" s="26"/>
    </row>
    <row r="8" spans="1:12" s="41" customFormat="1" x14ac:dyDescent="0.25"/>
    <row r="9" spans="1:12" s="41" customFormat="1" x14ac:dyDescent="0.25"/>
  </sheetData>
  <mergeCells count="2">
    <mergeCell ref="B1:K1"/>
    <mergeCell ref="B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>
      <selection activeCell="G5" sqref="G5"/>
    </sheetView>
  </sheetViews>
  <sheetFormatPr baseColWidth="10" defaultRowHeight="15" x14ac:dyDescent="0.25"/>
  <cols>
    <col min="1" max="1" width="30.7109375" bestFit="1" customWidth="1"/>
    <col min="2" max="2" width="13.42578125" bestFit="1" customWidth="1"/>
    <col min="3" max="3" width="18.7109375" bestFit="1" customWidth="1"/>
  </cols>
  <sheetData>
    <row r="1" spans="1:12" x14ac:dyDescent="0.25">
      <c r="A1" s="149" t="s">
        <v>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x14ac:dyDescent="0.25">
      <c r="A2" s="145" t="s">
        <v>9</v>
      </c>
      <c r="B2" s="146" t="s">
        <v>12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x14ac:dyDescent="0.25">
      <c r="A3" s="145"/>
      <c r="B3" s="8">
        <v>0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</row>
    <row r="4" spans="1:12" x14ac:dyDescent="0.25">
      <c r="A4" s="114" t="s">
        <v>7</v>
      </c>
      <c r="B4" s="61">
        <f>-'identif.+inversiones+prestamos'!G17</f>
        <v>-2069.0586052863036</v>
      </c>
      <c r="C4" s="27">
        <f>IF((VLOOKUP(C$3,'identif.+inversiones+prestamos'!$C$54:$L$63,10)&lt;&gt;0),VLOOKUP(C$3,'identif.+inversiones+prestamos'!$C$54:$L$63,10),)</f>
        <v>0</v>
      </c>
      <c r="D4" s="27">
        <f>IF((VLOOKUP(D$3,'identif.+inversiones+prestamos'!$C$54:$L$63,10)&lt;&gt;0),VLOOKUP(D$3,'identif.+inversiones+prestamos'!$C$54:$L$63,10),)</f>
        <v>0</v>
      </c>
      <c r="E4" s="27">
        <f>IF((VLOOKUP(E$3,'identif.+inversiones+prestamos'!$C$54:$L$63,10)&lt;&gt;0),VLOOKUP(E$3,'identif.+inversiones+prestamos'!$C$54:$L$63,10),)</f>
        <v>0</v>
      </c>
      <c r="F4" s="27">
        <f>IF((VLOOKUP(F$3,'identif.+inversiones+prestamos'!$C$54:$L$63,10)&lt;&gt;0),VLOOKUP(F$3,'identif.+inversiones+prestamos'!$C$54:$L$63,10),)</f>
        <v>0</v>
      </c>
      <c r="G4" s="27">
        <f>IF((VLOOKUP(G$3,'identif.+inversiones+prestamos'!$C$54:$L$63,10)&lt;&gt;0),VLOOKUP(G$3,'identif.+inversiones+prestamos'!$C$54:$L$63,10),)</f>
        <v>0</v>
      </c>
      <c r="H4" s="27">
        <f>IF((VLOOKUP(H$3,'identif.+inversiones+prestamos'!$C$54:$L$63,10)&lt;&gt;0),VLOOKUP(H$3,'identif.+inversiones+prestamos'!$C$54:$L$63,10),)</f>
        <v>0</v>
      </c>
      <c r="I4" s="27">
        <f>IF((VLOOKUP(I$3,'identif.+inversiones+prestamos'!$C$54:$L$63,10)&lt;&gt;0),VLOOKUP(I$3,'identif.+inversiones+prestamos'!$C$54:$L$63,10),)</f>
        <v>0</v>
      </c>
      <c r="J4" s="27">
        <f>IF((VLOOKUP(J$3,'identif.+inversiones+prestamos'!$C$54:$L$63,10)&lt;&gt;0),VLOOKUP(J$3,'identif.+inversiones+prestamos'!$C$54:$L$63,10),)</f>
        <v>0</v>
      </c>
      <c r="K4" s="27">
        <f>IF((VLOOKUP(K$3,'identif.+inversiones+prestamos'!$C$54:$L$63,10)&lt;&gt;0),VLOOKUP(K$3,'identif.+inversiones+prestamos'!$C$54:$L$63,10),)</f>
        <v>0</v>
      </c>
      <c r="L4" s="7">
        <f>IF((VLOOKUP(L$3,'identif.+inversiones+prestamos'!$C$54:$L$63,10)&lt;&gt;0),VLOOKUP(L$3,'identif.+inversiones+prestamos'!$C$54:$L$63,10),)</f>
        <v>0</v>
      </c>
    </row>
    <row r="5" spans="1:12" x14ac:dyDescent="0.25">
      <c r="A5" s="115" t="s">
        <v>5</v>
      </c>
      <c r="B5" s="62">
        <f>-'identif.+inversiones+prestamos'!G13</f>
        <v>-1064</v>
      </c>
      <c r="C5" s="58"/>
      <c r="D5" s="58"/>
      <c r="E5" s="58"/>
      <c r="F5" s="58"/>
      <c r="G5" s="58"/>
      <c r="H5" s="58"/>
      <c r="I5" s="58"/>
      <c r="J5" s="58"/>
      <c r="K5" s="58"/>
      <c r="L5" s="63">
        <f>-B5</f>
        <v>1064</v>
      </c>
    </row>
    <row r="6" spans="1:12" x14ac:dyDescent="0.25">
      <c r="A6" s="115" t="s">
        <v>38</v>
      </c>
      <c r="B6" s="62"/>
      <c r="C6" s="58">
        <f>+'flujo caja operación'!B6</f>
        <v>661.04382435549269</v>
      </c>
      <c r="D6" s="58">
        <f>+'flujo caja operación'!C6</f>
        <v>661.04382435549269</v>
      </c>
      <c r="E6" s="58">
        <f>+'flujo caja operación'!D6</f>
        <v>661.04382435549269</v>
      </c>
      <c r="F6" s="58">
        <f>+'flujo caja operación'!E6</f>
        <v>661.04382435549269</v>
      </c>
      <c r="G6" s="58">
        <f>+'flujo caja operación'!F6</f>
        <v>661.04382435549269</v>
      </c>
      <c r="H6" s="58">
        <f>+'flujo caja operación'!G6</f>
        <v>661.04382435549269</v>
      </c>
      <c r="I6" s="58">
        <f>+'flujo caja operación'!H6</f>
        <v>661.04382435549269</v>
      </c>
      <c r="J6" s="58">
        <f>+'flujo caja operación'!I6</f>
        <v>661.04382435549269</v>
      </c>
      <c r="K6" s="58">
        <f>+'flujo caja operación'!J6</f>
        <v>661.04382435549269</v>
      </c>
      <c r="L6" s="63">
        <f>+'flujo caja operación'!K6</f>
        <v>661.04382435549269</v>
      </c>
    </row>
    <row r="7" spans="1:12" x14ac:dyDescent="0.25">
      <c r="A7" s="115" t="s">
        <v>86</v>
      </c>
      <c r="B7" s="62"/>
      <c r="C7" s="58">
        <f>IF((VLOOKUP(C$23,'identif.+inversiones+prestamos'!$C$54:$F$63,4)&gt;0),-VLOOKUP(C$23,'identif.+inversiones+prestamos'!$C$54:$F$63,4)," ")</f>
        <v>-179.82267966600915</v>
      </c>
      <c r="D7" s="58">
        <f>IF((VLOOKUP(D$23,'identif.+inversiones+prestamos'!$C$54:$F$63,4)&gt;0),-VLOOKUP(D$23,'identif.+inversiones+prestamos'!$C$54:$F$63,4)," ")</f>
        <v>-179.82267966600915</v>
      </c>
      <c r="E7" s="58">
        <f>IF((VLOOKUP(E$23,'identif.+inversiones+prestamos'!$C$54:$F$63,4)&gt;0),-VLOOKUP(E$23,'identif.+inversiones+prestamos'!$C$54:$F$63,4)," ")</f>
        <v>-179.82267966600915</v>
      </c>
      <c r="F7" s="58">
        <f>IF((VLOOKUP(F$23,'identif.+inversiones+prestamos'!$C$54:$F$63,4)&gt;0),-VLOOKUP(F$23,'identif.+inversiones+prestamos'!$C$54:$F$63,4)," ")</f>
        <v>-179.82267966600915</v>
      </c>
      <c r="G7" s="58">
        <f>IF((VLOOKUP(G$23,'identif.+inversiones+prestamos'!$C$54:$F$63,4)&gt;0),-VLOOKUP(G$23,'identif.+inversiones+prestamos'!$C$54:$F$63,4)," ")</f>
        <v>-179.82267966600915</v>
      </c>
      <c r="H7" s="58">
        <f>IF((VLOOKUP(H$23,'identif.+inversiones+prestamos'!$C$54:$F$63,4)&gt;0),-VLOOKUP(H$23,'identif.+inversiones+prestamos'!$C$54:$F$63,4)," ")</f>
        <v>-179.82267966600915</v>
      </c>
      <c r="I7" s="58">
        <f>IF((VLOOKUP(I$23,'identif.+inversiones+prestamos'!$C$54:$F$63,4)&gt;0),-VLOOKUP(I$23,'identif.+inversiones+prestamos'!$C$54:$F$63,4)," ")</f>
        <v>-179.82267966600915</v>
      </c>
      <c r="J7" s="58">
        <f>IF((VLOOKUP(J$23,'identif.+inversiones+prestamos'!$C$54:$F$63,4)&gt;0),-VLOOKUP(J$23,'identif.+inversiones+prestamos'!$C$54:$F$63,4)," ")</f>
        <v>-179.82267966600915</v>
      </c>
      <c r="K7" s="58">
        <f>IF((VLOOKUP(K$23,'identif.+inversiones+prestamos'!$C$54:$F$63,4)&gt;0),-VLOOKUP(K$23,'identif.+inversiones+prestamos'!$C$54:$F$63,4)," ")</f>
        <v>-179.82267966600915</v>
      </c>
      <c r="L7" s="63">
        <f>IF((VLOOKUP(L$23,'identif.+inversiones+prestamos'!$C$54:$F$63,4)&gt;0),-VLOOKUP(L$23,'identif.+inversiones+prestamos'!$C$54:$F$63,4)," ")</f>
        <v>-179.82267966600915</v>
      </c>
    </row>
    <row r="8" spans="1:12" x14ac:dyDescent="0.25">
      <c r="A8" s="115" t="s">
        <v>87</v>
      </c>
      <c r="B8" s="62"/>
      <c r="C8" s="58">
        <f>IF((VLOOKUP(C$23,'identif.+inversiones+prestamos'!$C$54:$I$63,7)&lt;&gt;0),VLOOKUP(C$23,'identif.+inversiones+prestamos'!$C$54:$I$63,7),)</f>
        <v>0</v>
      </c>
      <c r="D8" s="58">
        <f>IF((VLOOKUP(D$23,'identif.+inversiones+prestamos'!$C$54:$I$63,7)&lt;&gt;0),VLOOKUP(D$23,'identif.+inversiones+prestamos'!$C$54:$I$63,7),)</f>
        <v>0</v>
      </c>
      <c r="E8" s="58">
        <f>IF((VLOOKUP(E$23,'identif.+inversiones+prestamos'!$C$54:$I$63,7)&lt;&gt;0),VLOOKUP(E$23,'identif.+inversiones+prestamos'!$C$54:$I$63,7),)</f>
        <v>0</v>
      </c>
      <c r="F8" s="58">
        <f>IF((VLOOKUP(F$23,'identif.+inversiones+prestamos'!$C$54:$I$63,7)&lt;&gt;0),VLOOKUP(F$23,'identif.+inversiones+prestamos'!$C$54:$I$63,7),)</f>
        <v>0</v>
      </c>
      <c r="G8" s="58">
        <f>IF((VLOOKUP(G$23,'identif.+inversiones+prestamos'!$C$54:$I$63,7)&lt;&gt;0),VLOOKUP(G$23,'identif.+inversiones+prestamos'!$C$54:$I$63,7),)</f>
        <v>0</v>
      </c>
      <c r="H8" s="58">
        <f>IF((VLOOKUP(H$23,'identif.+inversiones+prestamos'!$C$54:$I$63,7)&lt;&gt;0),VLOOKUP(H$23,'identif.+inversiones+prestamos'!$C$54:$I$63,7),)</f>
        <v>0</v>
      </c>
      <c r="I8" s="58">
        <f>IF((VLOOKUP(I$23,'identif.+inversiones+prestamos'!$C$54:$I$63,7)&lt;&gt;0),VLOOKUP(I$23,'identif.+inversiones+prestamos'!$C$54:$I$63,7),)</f>
        <v>0</v>
      </c>
      <c r="J8" s="58">
        <f>IF((VLOOKUP(J$23,'identif.+inversiones+prestamos'!$C$54:$I$63,7)&lt;&gt;0),VLOOKUP(J$23,'identif.+inversiones+prestamos'!$C$54:$I$63,7),)</f>
        <v>0</v>
      </c>
      <c r="K8" s="58">
        <f>IF((VLOOKUP(K$23,'identif.+inversiones+prestamos'!$C$54:$I$63,7)&lt;&gt;0),VLOOKUP(K$23,'identif.+inversiones+prestamos'!$C$54:$I$63,7),)</f>
        <v>0</v>
      </c>
      <c r="L8" s="63">
        <f>IF((VLOOKUP(L$23,'identif.+inversiones+prestamos'!$C$54:$I$63,7)&lt;&gt;0),VLOOKUP(L$23,'identif.+inversiones+prestamos'!$C$54:$I$63,7),)</f>
        <v>0</v>
      </c>
    </row>
    <row r="9" spans="1:12" x14ac:dyDescent="0.25">
      <c r="A9" s="115" t="s">
        <v>88</v>
      </c>
      <c r="B9" s="62"/>
      <c r="C9" s="58">
        <f>+C6+C7+C8</f>
        <v>481.22114468948354</v>
      </c>
      <c r="D9" s="58">
        <f t="shared" ref="D9:L9" si="0">+D6+D7+D8</f>
        <v>481.22114468948354</v>
      </c>
      <c r="E9" s="58">
        <f t="shared" si="0"/>
        <v>481.22114468948354</v>
      </c>
      <c r="F9" s="58">
        <f t="shared" si="0"/>
        <v>481.22114468948354</v>
      </c>
      <c r="G9" s="58">
        <f t="shared" si="0"/>
        <v>481.22114468948354</v>
      </c>
      <c r="H9" s="58">
        <f t="shared" si="0"/>
        <v>481.22114468948354</v>
      </c>
      <c r="I9" s="58">
        <f t="shared" si="0"/>
        <v>481.22114468948354</v>
      </c>
      <c r="J9" s="58">
        <f t="shared" si="0"/>
        <v>481.22114468948354</v>
      </c>
      <c r="K9" s="58">
        <f t="shared" si="0"/>
        <v>481.22114468948354</v>
      </c>
      <c r="L9" s="63">
        <f t="shared" si="0"/>
        <v>481.22114468948354</v>
      </c>
    </row>
    <row r="10" spans="1:12" x14ac:dyDescent="0.25">
      <c r="A10" s="114" t="s">
        <v>101</v>
      </c>
      <c r="B10" s="61"/>
      <c r="C10" s="27">
        <f>-C9*'identif.+inversiones+prestamos'!$D$10</f>
        <v>-120.30528617237088</v>
      </c>
      <c r="D10" s="27">
        <f>-D9*'identif.+inversiones+prestamos'!$D$10</f>
        <v>-120.30528617237088</v>
      </c>
      <c r="E10" s="27">
        <f>-E9*'identif.+inversiones+prestamos'!$D$10</f>
        <v>-120.30528617237088</v>
      </c>
      <c r="F10" s="27">
        <f>-F9*'identif.+inversiones+prestamos'!$D$10</f>
        <v>-120.30528617237088</v>
      </c>
      <c r="G10" s="27">
        <f>-G9*'identif.+inversiones+prestamos'!$D$10</f>
        <v>-120.30528617237088</v>
      </c>
      <c r="H10" s="27">
        <f>-H9*'identif.+inversiones+prestamos'!$D$10</f>
        <v>-120.30528617237088</v>
      </c>
      <c r="I10" s="27">
        <f>-I9*'identif.+inversiones+prestamos'!$D$10</f>
        <v>-120.30528617237088</v>
      </c>
      <c r="J10" s="27">
        <f>-J9*'identif.+inversiones+prestamos'!$D$10</f>
        <v>-120.30528617237088</v>
      </c>
      <c r="K10" s="27">
        <f>-K9*'identif.+inversiones+prestamos'!$D$10</f>
        <v>-120.30528617237088</v>
      </c>
      <c r="L10" s="7">
        <f>-L9*'identif.+inversiones+prestamos'!$D$10</f>
        <v>-120.30528617237088</v>
      </c>
    </row>
    <row r="11" spans="1:12" x14ac:dyDescent="0.25">
      <c r="A11" s="115" t="s">
        <v>102</v>
      </c>
      <c r="B11" s="62"/>
      <c r="C11" s="58">
        <f>IF((C9&lt;0),+B11+C10,IF(B11&gt;ABS(C10),B11-ABS(C10),0))</f>
        <v>0</v>
      </c>
      <c r="D11" s="58">
        <f t="shared" ref="D11:L11" si="1">IF((D9&lt;0),+C11+D10,IF(C11&gt;ABS(D10),C11-ABS(D10),0))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 t="shared" si="1"/>
        <v>0</v>
      </c>
      <c r="I11" s="58">
        <f t="shared" si="1"/>
        <v>0</v>
      </c>
      <c r="J11" s="58">
        <f t="shared" si="1"/>
        <v>0</v>
      </c>
      <c r="K11" s="58">
        <f t="shared" si="1"/>
        <v>0</v>
      </c>
      <c r="L11" s="63">
        <f t="shared" si="1"/>
        <v>0</v>
      </c>
    </row>
    <row r="12" spans="1:12" x14ac:dyDescent="0.25">
      <c r="A12" s="110" t="s">
        <v>103</v>
      </c>
      <c r="B12" s="70"/>
      <c r="C12" s="71">
        <f>IF((C9&lt;0),0,IF((B11&gt;ABS(C10)),0,(C10+B11)))</f>
        <v>-120.30528617237088</v>
      </c>
      <c r="D12" s="71">
        <f t="shared" ref="D12:L12" si="2">IF((D9&lt;0),0,IF((C11&gt;ABS(D10)),0,(D10+C11)))</f>
        <v>-120.30528617237088</v>
      </c>
      <c r="E12" s="71">
        <f t="shared" si="2"/>
        <v>-120.30528617237088</v>
      </c>
      <c r="F12" s="71">
        <f t="shared" si="2"/>
        <v>-120.30528617237088</v>
      </c>
      <c r="G12" s="71">
        <f t="shared" si="2"/>
        <v>-120.30528617237088</v>
      </c>
      <c r="H12" s="71">
        <f t="shared" si="2"/>
        <v>-120.30528617237088</v>
      </c>
      <c r="I12" s="71">
        <f t="shared" si="2"/>
        <v>-120.30528617237088</v>
      </c>
      <c r="J12" s="71">
        <f t="shared" si="2"/>
        <v>-120.30528617237088</v>
      </c>
      <c r="K12" s="71">
        <f t="shared" si="2"/>
        <v>-120.30528617237088</v>
      </c>
      <c r="L12" s="113">
        <f t="shared" si="2"/>
        <v>-120.30528617237088</v>
      </c>
    </row>
    <row r="13" spans="1:12" x14ac:dyDescent="0.25">
      <c r="A13" s="110" t="s">
        <v>39</v>
      </c>
      <c r="B13" s="71">
        <f xml:space="preserve"> SUM(B4:B6)</f>
        <v>-3133.0586052863036</v>
      </c>
      <c r="C13" s="71">
        <f>+C4+C5+C6+C12</f>
        <v>540.73853818312182</v>
      </c>
      <c r="D13" s="71">
        <f t="shared" ref="C13:K13" si="3">+D4+D5+D6+D12</f>
        <v>540.73853818312182</v>
      </c>
      <c r="E13" s="71">
        <f>+E4+E5+E6+E12</f>
        <v>540.73853818312182</v>
      </c>
      <c r="F13" s="71">
        <f t="shared" si="3"/>
        <v>540.73853818312182</v>
      </c>
      <c r="G13" s="71">
        <f t="shared" si="3"/>
        <v>540.73853818312182</v>
      </c>
      <c r="H13" s="71">
        <f t="shared" si="3"/>
        <v>540.73853818312182</v>
      </c>
      <c r="I13" s="71">
        <f t="shared" si="3"/>
        <v>540.73853818312182</v>
      </c>
      <c r="J13" s="71">
        <f t="shared" si="3"/>
        <v>540.73853818312182</v>
      </c>
      <c r="K13" s="71">
        <f t="shared" si="3"/>
        <v>540.73853818312182</v>
      </c>
      <c r="L13" s="113">
        <f>IF(L11=0,(+L4+L5+L6+L12),(+L4+L5+L6+L11+L12))</f>
        <v>1604.7385381831218</v>
      </c>
    </row>
    <row r="14" spans="1:12" x14ac:dyDescent="0.25">
      <c r="A14" s="1"/>
      <c r="B14" s="1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x14ac:dyDescent="0.25">
      <c r="A15" s="64" t="s">
        <v>35</v>
      </c>
      <c r="B15" s="65">
        <v>0.1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66" t="str">
        <f>CONCATENATE("VAN ",($B$15*100)," % (UF) = ")</f>
        <v xml:space="preserve">VAN 10 % (UF) = </v>
      </c>
      <c r="B16" s="67">
        <f>NPV(B15,C13:L13)+B13</f>
        <v>599.76368917356149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68" t="s">
        <v>42</v>
      </c>
      <c r="B17" s="69">
        <f>IRR(B13:L13)</f>
        <v>0.13812707649699774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  <row r="19" spans="1:12" x14ac:dyDescent="0.2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0" spans="1:12" x14ac:dyDescent="0.2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</row>
    <row r="21" spans="1:12" x14ac:dyDescent="0.25">
      <c r="A21" s="150" t="s">
        <v>36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12" x14ac:dyDescent="0.25">
      <c r="A22" s="145" t="s">
        <v>9</v>
      </c>
      <c r="B22" s="146" t="s">
        <v>12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8"/>
    </row>
    <row r="23" spans="1:12" x14ac:dyDescent="0.25">
      <c r="A23" s="145"/>
      <c r="B23" s="8">
        <v>0</v>
      </c>
      <c r="C23" s="8">
        <v>1</v>
      </c>
      <c r="D23" s="8">
        <v>2</v>
      </c>
      <c r="E23" s="8">
        <v>3</v>
      </c>
      <c r="F23" s="8">
        <v>4</v>
      </c>
      <c r="G23" s="8">
        <v>5</v>
      </c>
      <c r="H23" s="8">
        <v>6</v>
      </c>
      <c r="I23" s="8">
        <v>7</v>
      </c>
      <c r="J23" s="8">
        <v>8</v>
      </c>
      <c r="K23" s="8">
        <v>9</v>
      </c>
      <c r="L23" s="8">
        <v>10</v>
      </c>
    </row>
    <row r="24" spans="1:12" x14ac:dyDescent="0.25">
      <c r="A24" s="114" t="s">
        <v>7</v>
      </c>
      <c r="B24" s="27">
        <f>B4</f>
        <v>-2069.0586052863036</v>
      </c>
      <c r="C24" s="27">
        <f t="shared" ref="C24:L24" si="4">C4</f>
        <v>0</v>
      </c>
      <c r="D24" s="27">
        <f t="shared" si="4"/>
        <v>0</v>
      </c>
      <c r="E24" s="27">
        <f t="shared" si="4"/>
        <v>0</v>
      </c>
      <c r="F24" s="27">
        <f t="shared" si="4"/>
        <v>0</v>
      </c>
      <c r="G24" s="27">
        <f t="shared" si="4"/>
        <v>0</v>
      </c>
      <c r="H24" s="27">
        <f t="shared" si="4"/>
        <v>0</v>
      </c>
      <c r="I24" s="27">
        <f t="shared" si="4"/>
        <v>0</v>
      </c>
      <c r="J24" s="27">
        <f t="shared" si="4"/>
        <v>0</v>
      </c>
      <c r="K24" s="27">
        <f t="shared" si="4"/>
        <v>0</v>
      </c>
      <c r="L24" s="7">
        <f t="shared" si="4"/>
        <v>0</v>
      </c>
    </row>
    <row r="25" spans="1:12" x14ac:dyDescent="0.25">
      <c r="A25" s="115" t="s">
        <v>5</v>
      </c>
      <c r="B25" s="58">
        <f>B5</f>
        <v>-1064</v>
      </c>
      <c r="C25" s="58"/>
      <c r="D25" s="58"/>
      <c r="E25" s="58"/>
      <c r="F25" s="58"/>
      <c r="G25" s="58"/>
      <c r="H25" s="58"/>
      <c r="I25" s="58"/>
      <c r="J25" s="58"/>
      <c r="K25" s="58"/>
      <c r="L25" s="63">
        <f>-B25</f>
        <v>1064</v>
      </c>
    </row>
    <row r="26" spans="1:12" x14ac:dyDescent="0.25">
      <c r="A26" s="115" t="s">
        <v>37</v>
      </c>
      <c r="B26" s="58">
        <f>+'identif.+inversiones+prestamos'!D8</f>
        <v>895.83</v>
      </c>
      <c r="C26" s="58"/>
      <c r="D26" s="58"/>
      <c r="E26" s="58"/>
      <c r="F26" s="58"/>
      <c r="G26" s="58"/>
      <c r="H26" s="58"/>
      <c r="I26" s="58"/>
      <c r="J26" s="58"/>
      <c r="K26" s="58"/>
      <c r="L26" s="63"/>
    </row>
    <row r="27" spans="1:12" x14ac:dyDescent="0.25">
      <c r="A27" s="115" t="s">
        <v>84</v>
      </c>
      <c r="B27" s="58">
        <f>+'identif.+inversiones+prestamos'!D27</f>
        <v>1173</v>
      </c>
      <c r="C27" s="58"/>
      <c r="D27" s="58"/>
      <c r="E27" s="58"/>
      <c r="F27" s="58"/>
      <c r="G27" s="58"/>
      <c r="H27" s="58"/>
      <c r="I27" s="58"/>
      <c r="J27" s="58"/>
      <c r="K27" s="58"/>
      <c r="L27" s="63"/>
    </row>
    <row r="28" spans="1:12" x14ac:dyDescent="0.25">
      <c r="A28" s="115" t="s">
        <v>85</v>
      </c>
      <c r="B28" s="58"/>
      <c r="C28" s="58">
        <f>IF((VLOOKUP(C$23,'identif.+inversiones+prestamos'!$C$27:$H$37,4)&gt;0),-VLOOKUP(C$23,'identif.+inversiones+prestamos'!$C$27:$H$37,4),)</f>
        <v>-179.22395498642697</v>
      </c>
      <c r="D28" s="58">
        <f>IF((VLOOKUP(D$23,'identif.+inversiones+prestamos'!$C$27:$H$37,4)&gt;0),-VLOOKUP(D$23,'identif.+inversiones+prestamos'!$C$27:$H$37,4),)</f>
        <v>-203.41918890959462</v>
      </c>
      <c r="E28" s="58">
        <f>IF((VLOOKUP(E$23,'identif.+inversiones+prestamos'!$C$27:$H$37,4)&gt;0),-VLOOKUP(E$23,'identif.+inversiones+prestamos'!$C$27:$H$37,4),)</f>
        <v>-230.8807794123899</v>
      </c>
      <c r="F28" s="58">
        <f>IF((VLOOKUP(F$23,'identif.+inversiones+prestamos'!$C$27:$H$37,4)&gt;0),-VLOOKUP(F$23,'identif.+inversiones+prestamos'!$C$27:$H$37,4),)</f>
        <v>-262.0496846330625</v>
      </c>
      <c r="G28" s="58">
        <f>IF((VLOOKUP(G$23,'identif.+inversiones+prestamos'!$C$27:$H$37,4)&gt;0),-VLOOKUP(G$23,'identif.+inversiones+prestamos'!$C$27:$H$37,4),)</f>
        <v>-297.42639205852595</v>
      </c>
      <c r="H28" s="58">
        <f>IF((VLOOKUP(H$23,'identif.+inversiones+prestamos'!$C$27:$H$37,4)&gt;0),-VLOOKUP(H$23,'identif.+inversiones+prestamos'!$C$27:$H$37,4),)</f>
        <v>0</v>
      </c>
      <c r="I28" s="58">
        <f>IF((VLOOKUP(I$23,'identif.+inversiones+prestamos'!$C$27:$H$37,4)&gt;0),-VLOOKUP(I$23,'identif.+inversiones+prestamos'!$C$27:$H$37,4),)</f>
        <v>0</v>
      </c>
      <c r="J28" s="58">
        <f>IF((VLOOKUP(J$23,'identif.+inversiones+prestamos'!$C$27:$H$37,4)&gt;0),-VLOOKUP(J$23,'identif.+inversiones+prestamos'!$C$27:$H$37,4),)</f>
        <v>0</v>
      </c>
      <c r="K28" s="58">
        <f>IF((VLOOKUP(K$23,'identif.+inversiones+prestamos'!$C$27:$H$37,4)&gt;0),-VLOOKUP(K$23,'identif.+inversiones+prestamos'!$C$27:$H$37,4),)</f>
        <v>0</v>
      </c>
      <c r="L28" s="63">
        <f>IF((VLOOKUP(L$23,'identif.+inversiones+prestamos'!$C$27:$H$37,4)&gt;0),-VLOOKUP(L$23,'identif.+inversiones+prestamos'!$C$27:$H$37,4),)</f>
        <v>0</v>
      </c>
    </row>
    <row r="29" spans="1:12" x14ac:dyDescent="0.25">
      <c r="A29" s="115" t="s">
        <v>54</v>
      </c>
      <c r="B29" s="58"/>
      <c r="C29" s="58">
        <f>IF((VLOOKUP(C$23,'identif.+inversiones+prestamos'!$C$27:$H$37,4)&gt;0),-VLOOKUP(C$23,'identif.+inversiones+prestamos'!$C$27:$H$37,5),)</f>
        <v>-158.35500000000002</v>
      </c>
      <c r="D29" s="58">
        <f>IF((VLOOKUP(D$23,'identif.+inversiones+prestamos'!$C$27:$H$37,4)&gt;0),-VLOOKUP(D$23,'identif.+inversiones+prestamos'!$C$27:$H$37,5),)</f>
        <v>-134.15976607683237</v>
      </c>
      <c r="E29" s="58">
        <f>IF((VLOOKUP(E$23,'identif.+inversiones+prestamos'!$C$27:$H$37,4)&gt;0),-VLOOKUP(E$23,'identif.+inversiones+prestamos'!$C$27:$H$37,5),)</f>
        <v>-106.69817557403709</v>
      </c>
      <c r="F29" s="58">
        <f>IF((VLOOKUP(F$23,'identif.+inversiones+prestamos'!$C$27:$H$37,4)&gt;0),-VLOOKUP(F$23,'identif.+inversiones+prestamos'!$C$27:$H$37,5),)</f>
        <v>-75.529270353364467</v>
      </c>
      <c r="G29" s="58">
        <f>IF((VLOOKUP(G$23,'identif.+inversiones+prestamos'!$C$27:$H$37,4)&gt;0),-VLOOKUP(G$23,'identif.+inversiones+prestamos'!$C$27:$H$37,5),)</f>
        <v>-40.152562927901023</v>
      </c>
      <c r="H29" s="58">
        <f>IF((VLOOKUP(H$23,'identif.+inversiones+prestamos'!$C$27:$H$37,4)&gt;0),-VLOOKUP(H$23,'identif.+inversiones+prestamos'!$C$27:$H$37,5),)</f>
        <v>0</v>
      </c>
      <c r="I29" s="58">
        <f>IF((VLOOKUP(I$23,'identif.+inversiones+prestamos'!$C$27:$H$37,4)&gt;0),-VLOOKUP(I$23,'identif.+inversiones+prestamos'!$C$27:$H$37,5),)</f>
        <v>0</v>
      </c>
      <c r="J29" s="58">
        <f>IF((VLOOKUP(J$23,'identif.+inversiones+prestamos'!$C$27:$H$37,4)&gt;0),-VLOOKUP(J$23,'identif.+inversiones+prestamos'!$C$27:$H$37,5),)</f>
        <v>0</v>
      </c>
      <c r="K29" s="58">
        <f>IF((VLOOKUP(K$23,'identif.+inversiones+prestamos'!$C$27:$H$37,4)&gt;0),-VLOOKUP(K$23,'identif.+inversiones+prestamos'!$C$27:$H$37,5),)</f>
        <v>0</v>
      </c>
      <c r="L29" s="63">
        <f>IF((VLOOKUP(L$23,'identif.+inversiones+prestamos'!$C$27:$H$37,4)&gt;0),-VLOOKUP(L$23,'identif.+inversiones+prestamos'!$C$27:$H$37,5),)</f>
        <v>0</v>
      </c>
    </row>
    <row r="30" spans="1:12" x14ac:dyDescent="0.25">
      <c r="A30" s="115" t="s">
        <v>33</v>
      </c>
      <c r="B30" s="58"/>
      <c r="C30" s="58">
        <f t="shared" ref="C30" si="5">C6</f>
        <v>661.04382435549269</v>
      </c>
      <c r="D30" s="58">
        <f t="shared" ref="D30:L30" si="6">D6</f>
        <v>661.04382435549269</v>
      </c>
      <c r="E30" s="58">
        <f t="shared" si="6"/>
        <v>661.04382435549269</v>
      </c>
      <c r="F30" s="58">
        <f t="shared" si="6"/>
        <v>661.04382435549269</v>
      </c>
      <c r="G30" s="58">
        <f t="shared" si="6"/>
        <v>661.04382435549269</v>
      </c>
      <c r="H30" s="58">
        <f t="shared" si="6"/>
        <v>661.04382435549269</v>
      </c>
      <c r="I30" s="58">
        <f t="shared" si="6"/>
        <v>661.04382435549269</v>
      </c>
      <c r="J30" s="58">
        <f t="shared" si="6"/>
        <v>661.04382435549269</v>
      </c>
      <c r="K30" s="58">
        <f t="shared" si="6"/>
        <v>661.04382435549269</v>
      </c>
      <c r="L30" s="63">
        <f t="shared" si="6"/>
        <v>661.04382435549269</v>
      </c>
    </row>
    <row r="31" spans="1:12" x14ac:dyDescent="0.25">
      <c r="A31" s="115" t="s">
        <v>86</v>
      </c>
      <c r="B31" s="58"/>
      <c r="C31" s="58">
        <f t="shared" ref="C31:L31" si="7">C7</f>
        <v>-179.82267966600915</v>
      </c>
      <c r="D31" s="58">
        <f t="shared" si="7"/>
        <v>-179.82267966600915</v>
      </c>
      <c r="E31" s="58">
        <f t="shared" si="7"/>
        <v>-179.82267966600915</v>
      </c>
      <c r="F31" s="58">
        <f t="shared" si="7"/>
        <v>-179.82267966600915</v>
      </c>
      <c r="G31" s="58">
        <f t="shared" si="7"/>
        <v>-179.82267966600915</v>
      </c>
      <c r="H31" s="58">
        <f t="shared" si="7"/>
        <v>-179.82267966600915</v>
      </c>
      <c r="I31" s="58">
        <f t="shared" si="7"/>
        <v>-179.82267966600915</v>
      </c>
      <c r="J31" s="58">
        <f t="shared" si="7"/>
        <v>-179.82267966600915</v>
      </c>
      <c r="K31" s="58">
        <f t="shared" si="7"/>
        <v>-179.82267966600915</v>
      </c>
      <c r="L31" s="63">
        <f t="shared" si="7"/>
        <v>-179.82267966600915</v>
      </c>
    </row>
    <row r="32" spans="1:12" x14ac:dyDescent="0.25">
      <c r="A32" s="115" t="s">
        <v>87</v>
      </c>
      <c r="B32" s="58"/>
      <c r="C32" s="58">
        <f t="shared" ref="C32:L32" si="8">C8</f>
        <v>0</v>
      </c>
      <c r="D32" s="58">
        <f t="shared" si="8"/>
        <v>0</v>
      </c>
      <c r="E32" s="58">
        <f t="shared" si="8"/>
        <v>0</v>
      </c>
      <c r="F32" s="58">
        <f t="shared" si="8"/>
        <v>0</v>
      </c>
      <c r="G32" s="58">
        <f t="shared" si="8"/>
        <v>0</v>
      </c>
      <c r="H32" s="58">
        <f t="shared" si="8"/>
        <v>0</v>
      </c>
      <c r="I32" s="58">
        <f t="shared" si="8"/>
        <v>0</v>
      </c>
      <c r="J32" s="58">
        <f t="shared" si="8"/>
        <v>0</v>
      </c>
      <c r="K32" s="58">
        <f t="shared" si="8"/>
        <v>0</v>
      </c>
      <c r="L32" s="63">
        <f t="shared" si="8"/>
        <v>0</v>
      </c>
    </row>
    <row r="33" spans="1:12" x14ac:dyDescent="0.25">
      <c r="A33" s="110" t="s">
        <v>88</v>
      </c>
      <c r="B33" s="71"/>
      <c r="C33" s="71">
        <f>+C29+C30+C31+C32</f>
        <v>322.86614468948352</v>
      </c>
      <c r="D33" s="71">
        <f t="shared" ref="D33:K33" si="9">+D29+D30+D31+D32</f>
        <v>347.06137861265114</v>
      </c>
      <c r="E33" s="71">
        <f t="shared" si="9"/>
        <v>374.52296911544641</v>
      </c>
      <c r="F33" s="71">
        <f t="shared" si="9"/>
        <v>405.69187433611904</v>
      </c>
      <c r="G33" s="71">
        <f t="shared" si="9"/>
        <v>441.06858176158249</v>
      </c>
      <c r="H33" s="71">
        <f t="shared" si="9"/>
        <v>481.22114468948354</v>
      </c>
      <c r="I33" s="71">
        <f t="shared" si="9"/>
        <v>481.22114468948354</v>
      </c>
      <c r="J33" s="71">
        <f t="shared" si="9"/>
        <v>481.22114468948354</v>
      </c>
      <c r="K33" s="71">
        <f t="shared" si="9"/>
        <v>481.22114468948354</v>
      </c>
      <c r="L33" s="113">
        <f>+L29+L30+L31+L32</f>
        <v>481.22114468948354</v>
      </c>
    </row>
    <row r="34" spans="1:12" x14ac:dyDescent="0.25">
      <c r="A34" s="114" t="s">
        <v>101</v>
      </c>
      <c r="B34" s="27"/>
      <c r="C34" s="27">
        <f>-C33*'identif.+inversiones+prestamos'!$D$10</f>
        <v>-80.71653617237088</v>
      </c>
      <c r="D34" s="27">
        <f>-D33*'identif.+inversiones+prestamos'!$D$10</f>
        <v>-86.765344653162785</v>
      </c>
      <c r="E34" s="27">
        <f>-E33*'identif.+inversiones+prestamos'!$D$10</f>
        <v>-93.630742278861604</v>
      </c>
      <c r="F34" s="27">
        <f>-F33*'identif.+inversiones+prestamos'!$D$10</f>
        <v>-101.42296858402976</v>
      </c>
      <c r="G34" s="27">
        <f>-G33*'identif.+inversiones+prestamos'!$D$10</f>
        <v>-110.26714544039562</v>
      </c>
      <c r="H34" s="27">
        <f>-H33*'identif.+inversiones+prestamos'!$D$10</f>
        <v>-120.30528617237088</v>
      </c>
      <c r="I34" s="27">
        <f>-I33*'identif.+inversiones+prestamos'!$D$10</f>
        <v>-120.30528617237088</v>
      </c>
      <c r="J34" s="27">
        <f>-J33*'identif.+inversiones+prestamos'!$D$10</f>
        <v>-120.30528617237088</v>
      </c>
      <c r="K34" s="27">
        <f>-K33*'identif.+inversiones+prestamos'!$D$10</f>
        <v>-120.30528617237088</v>
      </c>
      <c r="L34" s="7">
        <f>-L33*'identif.+inversiones+prestamos'!$D$10</f>
        <v>-120.30528617237088</v>
      </c>
    </row>
    <row r="35" spans="1:12" x14ac:dyDescent="0.25">
      <c r="A35" s="115" t="s">
        <v>102</v>
      </c>
      <c r="B35" s="58"/>
      <c r="C35" s="58">
        <f t="shared" ref="C35:G35" si="10">IF((C33&lt;0),+B35+C34,IF(B35&gt;ABS(C34),B35-ABS(C34),0))</f>
        <v>0</v>
      </c>
      <c r="D35" s="58">
        <f t="shared" si="10"/>
        <v>0</v>
      </c>
      <c r="E35" s="58">
        <f t="shared" si="10"/>
        <v>0</v>
      </c>
      <c r="F35" s="58">
        <f t="shared" si="10"/>
        <v>0</v>
      </c>
      <c r="G35" s="58">
        <f t="shared" si="10"/>
        <v>0</v>
      </c>
      <c r="H35" s="58">
        <f>IF((H33&lt;0),+G35+H34,IF(G35&gt;ABS(H34),G35-ABS(H34),0))</f>
        <v>0</v>
      </c>
      <c r="I35" s="58">
        <f t="shared" ref="I35" si="11">IF((I33&lt;0),+H35+I34,IF(H35&gt;ABS(I34),H35-ABS(I34),0))</f>
        <v>0</v>
      </c>
      <c r="J35" s="58">
        <f t="shared" ref="J35" si="12">IF((J33&lt;0),+I35+J34,IF(I35&gt;ABS(J34),I35-ABS(J34),0))</f>
        <v>0</v>
      </c>
      <c r="K35" s="58">
        <f t="shared" ref="K35" si="13">IF((K33&lt;0),+J35+K34,IF(J35&gt;ABS(K34),J35-ABS(K34),0))</f>
        <v>0</v>
      </c>
      <c r="L35" s="63">
        <f t="shared" ref="L35" si="14">IF((L33&lt;0),+K35+L34,IF(K35&gt;ABS(L34),K35-ABS(L34),0))</f>
        <v>0</v>
      </c>
    </row>
    <row r="36" spans="1:12" x14ac:dyDescent="0.25">
      <c r="A36" s="110" t="s">
        <v>103</v>
      </c>
      <c r="B36" s="71"/>
      <c r="C36" s="71">
        <f>IF((C33&lt;0),0,IF((B35&gt;ABS(C34)),0,(C34+B35)))</f>
        <v>-80.71653617237088</v>
      </c>
      <c r="D36" s="71">
        <f t="shared" ref="D36:L36" si="15">IF((D33&lt;0),0,IF((C35&gt;ABS(D34)),0,(D34+C35)))</f>
        <v>-86.765344653162785</v>
      </c>
      <c r="E36" s="71">
        <f t="shared" si="15"/>
        <v>-93.630742278861604</v>
      </c>
      <c r="F36" s="71">
        <f t="shared" si="15"/>
        <v>-101.42296858402976</v>
      </c>
      <c r="G36" s="71">
        <f t="shared" si="15"/>
        <v>-110.26714544039562</v>
      </c>
      <c r="H36" s="71">
        <f t="shared" si="15"/>
        <v>-120.30528617237088</v>
      </c>
      <c r="I36" s="71">
        <f t="shared" si="15"/>
        <v>-120.30528617237088</v>
      </c>
      <c r="J36" s="71">
        <f t="shared" si="15"/>
        <v>-120.30528617237088</v>
      </c>
      <c r="K36" s="71">
        <f t="shared" si="15"/>
        <v>-120.30528617237088</v>
      </c>
      <c r="L36" s="113">
        <f t="shared" si="15"/>
        <v>-120.30528617237088</v>
      </c>
    </row>
    <row r="37" spans="1:12" x14ac:dyDescent="0.25">
      <c r="A37" s="110" t="s">
        <v>34</v>
      </c>
      <c r="B37" s="113">
        <f t="shared" ref="B37" si="16">SUM(B24:B33)</f>
        <v>-1064.2286052863037</v>
      </c>
      <c r="C37" s="28">
        <f>+C24+C25+C26+C27+C28+C29+C30+C36</f>
        <v>242.74833319669483</v>
      </c>
      <c r="D37" s="28">
        <f>+D24+D25+D26+D27+D28+D29+D30+D36</f>
        <v>236.6995247159029</v>
      </c>
      <c r="E37" s="28">
        <f t="shared" ref="E37:L37" si="17">+E24+E25+E26+E27+E28+E29+E30+E36</f>
        <v>229.83412709020411</v>
      </c>
      <c r="F37" s="28">
        <f t="shared" si="17"/>
        <v>222.04190078503592</v>
      </c>
      <c r="G37" s="28">
        <f t="shared" si="17"/>
        <v>213.19772392867009</v>
      </c>
      <c r="H37" s="28">
        <f t="shared" si="17"/>
        <v>540.73853818312182</v>
      </c>
      <c r="I37" s="28">
        <f t="shared" si="17"/>
        <v>540.73853818312182</v>
      </c>
      <c r="J37" s="28">
        <f t="shared" si="17"/>
        <v>540.73853818312182</v>
      </c>
      <c r="K37" s="28">
        <f t="shared" si="17"/>
        <v>540.73853818312182</v>
      </c>
      <c r="L37" s="28">
        <f t="shared" si="17"/>
        <v>1604.7385381831218</v>
      </c>
    </row>
    <row r="38" spans="1:12" x14ac:dyDescent="0.25">
      <c r="A38" s="1"/>
      <c r="B38" s="1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x14ac:dyDescent="0.25">
      <c r="A39" s="2" t="s">
        <v>35</v>
      </c>
      <c r="B39" s="4">
        <v>0.1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x14ac:dyDescent="0.25">
      <c r="A40" s="66" t="str">
        <f>CONCATENATE("VAN ",($B$15*100)," % (UF) = ")</f>
        <v xml:space="preserve">VAN 10 % (UF) = </v>
      </c>
      <c r="B40" s="72">
        <f>NPV(B39,C37:L37)+B37</f>
        <v>1491.7833378809455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x14ac:dyDescent="0.25">
      <c r="A41" s="68" t="s">
        <v>42</v>
      </c>
      <c r="B41" s="73">
        <f>IRR(B37:L37)</f>
        <v>0.28310587408610255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3" spans="1:12" x14ac:dyDescent="0.25">
      <c r="B43" s="144" t="s">
        <v>43</v>
      </c>
      <c r="C43" s="144"/>
    </row>
    <row r="44" spans="1:12" x14ac:dyDescent="0.25">
      <c r="A44" s="33" t="s">
        <v>40</v>
      </c>
      <c r="B44" s="33" t="s">
        <v>44</v>
      </c>
      <c r="C44" s="33" t="s">
        <v>45</v>
      </c>
    </row>
    <row r="45" spans="1:12" x14ac:dyDescent="0.25">
      <c r="A45">
        <v>0</v>
      </c>
      <c r="B45" s="29">
        <f>+NPV(A45,$C$13:$L$13)+$B$13</f>
        <v>3338.3267765449145</v>
      </c>
      <c r="C45" s="29">
        <f>+NPV(A45,$C$37:$L$37)+$B$37</f>
        <v>3847.9856953458129</v>
      </c>
    </row>
    <row r="46" spans="1:12" x14ac:dyDescent="0.25">
      <c r="A46" s="74">
        <f>+A45+0.02</f>
        <v>0.02</v>
      </c>
      <c r="B46" s="29">
        <f t="shared" ref="B46:B95" si="18">+NPV(A46,$C$13:$L$13)+$B$13</f>
        <v>2597.0218711619164</v>
      </c>
      <c r="C46" s="29">
        <f t="shared" ref="C46:C95" si="19">+NPV(A46,$C$37:$L$37)+$B$37</f>
        <v>3197.4093951688756</v>
      </c>
    </row>
    <row r="47" spans="1:12" x14ac:dyDescent="0.25">
      <c r="A47" s="74">
        <f t="shared" ref="A47:A94" si="20">+A46+0.02</f>
        <v>0.04</v>
      </c>
      <c r="B47" s="29">
        <f t="shared" si="18"/>
        <v>1971.6155974284366</v>
      </c>
      <c r="C47" s="29">
        <f t="shared" si="19"/>
        <v>2654.7846107942937</v>
      </c>
    </row>
    <row r="48" spans="1:12" x14ac:dyDescent="0.25">
      <c r="A48" s="74">
        <f t="shared" si="20"/>
        <v>0.06</v>
      </c>
      <c r="B48" s="29">
        <f t="shared" si="18"/>
        <v>1440.9561504338872</v>
      </c>
      <c r="C48" s="29">
        <f t="shared" si="19"/>
        <v>2199.8331998192184</v>
      </c>
    </row>
    <row r="49" spans="1:3" x14ac:dyDescent="0.25">
      <c r="A49" s="74">
        <f t="shared" si="20"/>
        <v>0.08</v>
      </c>
      <c r="B49" s="29">
        <f t="shared" si="18"/>
        <v>988.17887278915259</v>
      </c>
      <c r="C49" s="29">
        <f t="shared" si="19"/>
        <v>1816.4513047898149</v>
      </c>
    </row>
    <row r="50" spans="1:3" x14ac:dyDescent="0.25">
      <c r="A50" s="74">
        <f t="shared" si="20"/>
        <v>0.1</v>
      </c>
      <c r="B50" s="29">
        <f t="shared" si="18"/>
        <v>599.76368917356149</v>
      </c>
      <c r="C50" s="29">
        <f t="shared" si="19"/>
        <v>1491.7833378809455</v>
      </c>
    </row>
    <row r="51" spans="1:3" x14ac:dyDescent="0.25">
      <c r="A51" s="74">
        <f t="shared" si="20"/>
        <v>0.12000000000000001</v>
      </c>
      <c r="B51" s="29">
        <f t="shared" si="18"/>
        <v>264.81425923769802</v>
      </c>
      <c r="C51" s="29">
        <f t="shared" si="19"/>
        <v>1215.5149884221578</v>
      </c>
    </row>
    <row r="52" spans="1:3" x14ac:dyDescent="0.25">
      <c r="A52" s="74">
        <f t="shared" si="20"/>
        <v>0.14000000000000001</v>
      </c>
      <c r="B52" s="29">
        <f t="shared" si="18"/>
        <v>-25.496442387296156</v>
      </c>
      <c r="C52" s="29">
        <f t="shared" si="19"/>
        <v>979.33044226722654</v>
      </c>
    </row>
    <row r="53" spans="1:3" x14ac:dyDescent="0.25">
      <c r="A53" s="74">
        <f t="shared" si="20"/>
        <v>0.16</v>
      </c>
      <c r="B53" s="29">
        <f t="shared" si="18"/>
        <v>-278.35488981131357</v>
      </c>
      <c r="C53" s="29">
        <f t="shared" si="19"/>
        <v>776.49342987280943</v>
      </c>
    </row>
    <row r="54" spans="1:3" x14ac:dyDescent="0.25">
      <c r="A54" s="74">
        <f t="shared" si="20"/>
        <v>0.18</v>
      </c>
      <c r="B54" s="29">
        <f t="shared" si="18"/>
        <v>-499.64035890399737</v>
      </c>
      <c r="C54" s="29">
        <f t="shared" si="19"/>
        <v>601.52217179754575</v>
      </c>
    </row>
    <row r="55" spans="1:3" x14ac:dyDescent="0.25">
      <c r="A55" s="74">
        <f t="shared" si="20"/>
        <v>0.19999999999999998</v>
      </c>
      <c r="B55" s="29">
        <f t="shared" si="18"/>
        <v>-694.18543817723912</v>
      </c>
      <c r="C55" s="29">
        <f t="shared" si="19"/>
        <v>449.93590882107014</v>
      </c>
    </row>
    <row r="56" spans="1:3" x14ac:dyDescent="0.25">
      <c r="A56" s="74">
        <f t="shared" si="20"/>
        <v>0.21999999999999997</v>
      </c>
      <c r="B56" s="29">
        <f t="shared" si="18"/>
        <v>-865.9806328178588</v>
      </c>
      <c r="C56" s="29">
        <f t="shared" si="19"/>
        <v>318.05629033961009</v>
      </c>
    </row>
    <row r="57" spans="1:3" x14ac:dyDescent="0.25">
      <c r="A57" s="74">
        <f t="shared" si="20"/>
        <v>0.23999999999999996</v>
      </c>
      <c r="B57" s="29">
        <f t="shared" si="18"/>
        <v>-1018.3358394335114</v>
      </c>
      <c r="C57" s="29">
        <f t="shared" si="19"/>
        <v>202.851014796252</v>
      </c>
    </row>
    <row r="58" spans="1:3" x14ac:dyDescent="0.25">
      <c r="A58" s="74">
        <f t="shared" si="20"/>
        <v>0.25999999999999995</v>
      </c>
      <c r="B58" s="29">
        <f t="shared" si="18"/>
        <v>-1154.0083831060415</v>
      </c>
      <c r="C58" s="29">
        <f t="shared" si="19"/>
        <v>101.81017152516415</v>
      </c>
    </row>
    <row r="59" spans="1:3" x14ac:dyDescent="0.25">
      <c r="A59" s="74">
        <f t="shared" si="20"/>
        <v>0.27999999999999997</v>
      </c>
      <c r="B59" s="29">
        <f t="shared" si="18"/>
        <v>-1275.3050053627369</v>
      </c>
      <c r="C59" s="29">
        <f t="shared" si="19"/>
        <v>12.848011800205313</v>
      </c>
    </row>
    <row r="60" spans="1:3" x14ac:dyDescent="0.25">
      <c r="A60" s="74">
        <f t="shared" si="20"/>
        <v>0.3</v>
      </c>
      <c r="B60" s="29">
        <f t="shared" si="18"/>
        <v>-1384.1634639324243</v>
      </c>
      <c r="C60" s="29">
        <f t="shared" si="19"/>
        <v>-65.775415347670105</v>
      </c>
    </row>
    <row r="61" spans="1:3" x14ac:dyDescent="0.25">
      <c r="A61" s="74">
        <f t="shared" si="20"/>
        <v>0.32</v>
      </c>
      <c r="B61" s="29">
        <f t="shared" si="18"/>
        <v>-1482.2181023282637</v>
      </c>
      <c r="C61" s="29">
        <f t="shared" si="19"/>
        <v>-135.51704044103883</v>
      </c>
    </row>
    <row r="62" spans="1:3" x14ac:dyDescent="0.25">
      <c r="A62" s="74">
        <f t="shared" si="20"/>
        <v>0.34</v>
      </c>
      <c r="B62" s="29">
        <f t="shared" si="18"/>
        <v>-1570.8527600101074</v>
      </c>
      <c r="C62" s="29">
        <f t="shared" si="19"/>
        <v>-197.60126793048141</v>
      </c>
    </row>
    <row r="63" spans="1:3" x14ac:dyDescent="0.25">
      <c r="A63" s="74">
        <f t="shared" si="20"/>
        <v>0.36000000000000004</v>
      </c>
      <c r="B63" s="29">
        <f t="shared" si="18"/>
        <v>-1651.2436421006221</v>
      </c>
      <c r="C63" s="29">
        <f t="shared" si="19"/>
        <v>-253.06075073338309</v>
      </c>
    </row>
    <row r="64" spans="1:3" x14ac:dyDescent="0.25">
      <c r="A64" s="74">
        <f t="shared" si="20"/>
        <v>0.38000000000000006</v>
      </c>
      <c r="B64" s="29">
        <f t="shared" si="18"/>
        <v>-1724.3941925042136</v>
      </c>
      <c r="C64" s="29">
        <f t="shared" si="19"/>
        <v>-302.76944192660062</v>
      </c>
    </row>
    <row r="65" spans="1:3" x14ac:dyDescent="0.25">
      <c r="A65" s="74">
        <f t="shared" si="20"/>
        <v>0.40000000000000008</v>
      </c>
      <c r="B65" s="29">
        <f t="shared" si="18"/>
        <v>-1791.1635722968051</v>
      </c>
      <c r="C65" s="29">
        <f t="shared" si="19"/>
        <v>-347.46948604996521</v>
      </c>
    </row>
    <row r="66" spans="1:3" x14ac:dyDescent="0.25">
      <c r="A66" s="74">
        <f t="shared" si="20"/>
        <v>0.4200000000000001</v>
      </c>
      <c r="B66" s="29">
        <f t="shared" si="18"/>
        <v>-1852.2900040944019</v>
      </c>
      <c r="C66" s="29">
        <f t="shared" si="19"/>
        <v>-387.79317749065399</v>
      </c>
    </row>
    <row r="67" spans="1:3" x14ac:dyDescent="0.25">
      <c r="A67" s="74">
        <f t="shared" si="20"/>
        <v>0.44000000000000011</v>
      </c>
      <c r="B67" s="29">
        <f t="shared" si="18"/>
        <v>-1908.4099786399763</v>
      </c>
      <c r="C67" s="29">
        <f t="shared" si="19"/>
        <v>-424.2809540813862</v>
      </c>
    </row>
    <row r="68" spans="1:3" x14ac:dyDescent="0.25">
      <c r="A68" s="74">
        <f t="shared" si="20"/>
        <v>0.46000000000000013</v>
      </c>
      <c r="B68" s="29">
        <f t="shared" si="18"/>
        <v>-1960.0741139750232</v>
      </c>
      <c r="C68" s="29">
        <f t="shared" si="19"/>
        <v>-457.3961924497213</v>
      </c>
    </row>
    <row r="69" spans="1:3" x14ac:dyDescent="0.25">
      <c r="A69" s="74">
        <f t="shared" si="20"/>
        <v>0.48000000000000015</v>
      </c>
      <c r="B69" s="29">
        <f t="shared" si="18"/>
        <v>-2007.7602966503239</v>
      </c>
      <c r="C69" s="29">
        <f t="shared" si="19"/>
        <v>-487.53741431947219</v>
      </c>
    </row>
    <row r="70" spans="1:3" x14ac:dyDescent="0.25">
      <c r="A70" s="74">
        <f t="shared" si="20"/>
        <v>0.50000000000000011</v>
      </c>
      <c r="B70" s="29">
        <f t="shared" si="18"/>
        <v>-2051.8846081627062</v>
      </c>
      <c r="C70" s="29">
        <f t="shared" si="19"/>
        <v>-515.04838969439982</v>
      </c>
    </row>
    <row r="71" spans="1:3" x14ac:dyDescent="0.25">
      <c r="A71" s="74">
        <f t="shared" si="20"/>
        <v>0.52000000000000013</v>
      </c>
      <c r="B71" s="29">
        <f t="shared" si="18"/>
        <v>-2092.8104403398838</v>
      </c>
      <c r="C71" s="29">
        <f t="shared" si="19"/>
        <v>-540.22652590807718</v>
      </c>
    </row>
    <row r="72" spans="1:3" x14ac:dyDescent="0.25">
      <c r="A72" s="74">
        <f t="shared" si="20"/>
        <v>0.54000000000000015</v>
      </c>
      <c r="B72" s="29">
        <f t="shared" si="18"/>
        <v>-2130.8561247496623</v>
      </c>
      <c r="C72" s="29">
        <f t="shared" si="19"/>
        <v>-563.32985499976235</v>
      </c>
    </row>
    <row r="73" spans="1:3" x14ac:dyDescent="0.25">
      <c r="A73" s="74">
        <f t="shared" si="20"/>
        <v>0.56000000000000016</v>
      </c>
      <c r="B73" s="29">
        <f t="shared" si="18"/>
        <v>-2166.3013387973751</v>
      </c>
      <c r="C73" s="29">
        <f t="shared" si="19"/>
        <v>-584.58287125563595</v>
      </c>
    </row>
    <row r="74" spans="1:3" x14ac:dyDescent="0.25">
      <c r="A74" s="74">
        <f t="shared" si="20"/>
        <v>0.58000000000000018</v>
      </c>
      <c r="B74" s="29">
        <f t="shared" si="18"/>
        <v>-2199.3925014683805</v>
      </c>
      <c r="C74" s="29">
        <f t="shared" si="19"/>
        <v>-604.18142256480849</v>
      </c>
    </row>
    <row r="75" spans="1:3" x14ac:dyDescent="0.25">
      <c r="A75" s="74">
        <f t="shared" si="20"/>
        <v>0.6000000000000002</v>
      </c>
      <c r="B75" s="29">
        <f t="shared" si="18"/>
        <v>-2230.3473319462696</v>
      </c>
      <c r="C75" s="29">
        <f t="shared" si="19"/>
        <v>-622.29682080068164</v>
      </c>
    </row>
    <row r="76" spans="1:3" x14ac:dyDescent="0.25">
      <c r="A76" s="74">
        <f t="shared" si="20"/>
        <v>0.62000000000000022</v>
      </c>
      <c r="B76" s="29">
        <f t="shared" si="18"/>
        <v>-2259.3587124797868</v>
      </c>
      <c r="C76" s="29">
        <f t="shared" si="19"/>
        <v>-639.07930567550693</v>
      </c>
    </row>
    <row r="77" spans="1:3" x14ac:dyDescent="0.25">
      <c r="A77" s="74">
        <f t="shared" si="20"/>
        <v>0.64000000000000024</v>
      </c>
      <c r="B77" s="29">
        <f t="shared" si="18"/>
        <v>-2286.5979712387884</v>
      </c>
      <c r="C77" s="29">
        <f t="shared" si="19"/>
        <v>-654.66097181667624</v>
      </c>
    </row>
    <row r="78" spans="1:3" x14ac:dyDescent="0.25">
      <c r="A78" s="74">
        <f t="shared" si="20"/>
        <v>0.66000000000000025</v>
      </c>
      <c r="B78" s="29">
        <f t="shared" si="18"/>
        <v>-2312.2176802085523</v>
      </c>
      <c r="C78" s="29">
        <f t="shared" si="19"/>
        <v>-669.15824891951286</v>
      </c>
    </row>
    <row r="79" spans="1:3" x14ac:dyDescent="0.25">
      <c r="A79" s="74">
        <f t="shared" si="20"/>
        <v>0.68000000000000027</v>
      </c>
      <c r="B79" s="29">
        <f t="shared" si="18"/>
        <v>-2336.3540464165135</v>
      </c>
      <c r="C79" s="29">
        <f t="shared" si="19"/>
        <v>-682.67400875867156</v>
      </c>
    </row>
    <row r="80" spans="1:3" x14ac:dyDescent="0.25">
      <c r="A80" s="74">
        <f t="shared" si="20"/>
        <v>0.70000000000000029</v>
      </c>
      <c r="B80" s="29">
        <f t="shared" si="18"/>
        <v>-2359.128961175345</v>
      </c>
      <c r="C80" s="29">
        <f t="shared" si="19"/>
        <v>-695.29935981558197</v>
      </c>
    </row>
    <row r="81" spans="1:3" x14ac:dyDescent="0.25">
      <c r="A81" s="74">
        <f t="shared" si="20"/>
        <v>0.72000000000000031</v>
      </c>
      <c r="B81" s="29">
        <f t="shared" si="18"/>
        <v>-2380.6517609372531</v>
      </c>
      <c r="C81" s="29">
        <f t="shared" si="19"/>
        <v>-707.11517969356464</v>
      </c>
    </row>
    <row r="82" spans="1:3" x14ac:dyDescent="0.25">
      <c r="A82" s="74">
        <f t="shared" si="20"/>
        <v>0.74000000000000032</v>
      </c>
      <c r="B82" s="29">
        <f t="shared" si="18"/>
        <v>-2401.0207442925534</v>
      </c>
      <c r="C82" s="29">
        <f t="shared" si="19"/>
        <v>-718.19342686387768</v>
      </c>
    </row>
    <row r="83" spans="1:3" x14ac:dyDescent="0.25">
      <c r="A83" s="74">
        <f t="shared" si="20"/>
        <v>0.76000000000000034</v>
      </c>
      <c r="B83" s="29">
        <f t="shared" si="18"/>
        <v>-2420.3244822189022</v>
      </c>
      <c r="C83" s="29">
        <f t="shared" si="19"/>
        <v>-728.59826623325648</v>
      </c>
    </row>
    <row r="84" spans="1:3" x14ac:dyDescent="0.25">
      <c r="A84" s="74">
        <f t="shared" si="20"/>
        <v>0.78000000000000036</v>
      </c>
      <c r="B84" s="29">
        <f t="shared" si="18"/>
        <v>-2438.6429525836456</v>
      </c>
      <c r="C84" s="29">
        <f t="shared" si="19"/>
        <v>-738.38703724287507</v>
      </c>
    </row>
    <row r="85" spans="1:3" x14ac:dyDescent="0.25">
      <c r="A85" s="74">
        <f>+A84+0.02</f>
        <v>0.80000000000000038</v>
      </c>
      <c r="B85" s="29">
        <f t="shared" si="18"/>
        <v>-2456.0485248709865</v>
      </c>
      <c r="C85" s="29">
        <f t="shared" si="19"/>
        <v>-747.61108845792251</v>
      </c>
    </row>
    <row r="86" spans="1:3" x14ac:dyDescent="0.25">
      <c r="A86" s="74">
        <f t="shared" si="20"/>
        <v>0.8200000000000004</v>
      </c>
      <c r="B86" s="29">
        <f t="shared" si="18"/>
        <v>-2472.6068169480995</v>
      </c>
      <c r="C86" s="29">
        <f t="shared" si="19"/>
        <v>-756.31649869234207</v>
      </c>
    </row>
    <row r="87" spans="1:3" x14ac:dyDescent="0.25">
      <c r="A87" s="74">
        <f t="shared" si="20"/>
        <v>0.84000000000000041</v>
      </c>
      <c r="B87" s="29">
        <f t="shared" si="18"/>
        <v>-2488.377442239218</v>
      </c>
      <c r="C87" s="29">
        <f t="shared" si="19"/>
        <v>-764.54470147930101</v>
      </c>
    </row>
    <row r="88" spans="1:3" x14ac:dyDescent="0.25">
      <c r="A88" s="74">
        <f t="shared" si="20"/>
        <v>0.86000000000000043</v>
      </c>
      <c r="B88" s="29">
        <f t="shared" si="18"/>
        <v>-2503.414662814459</v>
      </c>
      <c r="C88" s="29">
        <f t="shared" si="19"/>
        <v>-772.33302701952607</v>
      </c>
    </row>
    <row r="89" spans="1:3" x14ac:dyDescent="0.25">
      <c r="A89" s="74">
        <f t="shared" si="20"/>
        <v>0.88000000000000045</v>
      </c>
      <c r="B89" s="29">
        <f t="shared" si="18"/>
        <v>-2517.767961516096</v>
      </c>
      <c r="C89" s="29">
        <f t="shared" si="19"/>
        <v>-779.71517351586226</v>
      </c>
    </row>
    <row r="90" spans="1:3" x14ac:dyDescent="0.25">
      <c r="A90" s="74">
        <f t="shared" si="20"/>
        <v>0.90000000000000047</v>
      </c>
      <c r="B90" s="29">
        <f t="shared" si="18"/>
        <v>-2531.4825442541901</v>
      </c>
      <c r="C90" s="29">
        <f t="shared" si="19"/>
        <v>-786.72161795162788</v>
      </c>
    </row>
    <row r="91" spans="1:3" x14ac:dyDescent="0.25">
      <c r="A91" s="74">
        <f t="shared" si="20"/>
        <v>0.92000000000000048</v>
      </c>
      <c r="B91" s="29">
        <f t="shared" si="18"/>
        <v>-2544.5997819370186</v>
      </c>
      <c r="C91" s="29">
        <f t="shared" si="19"/>
        <v>-793.37997482635251</v>
      </c>
    </row>
    <row r="92" spans="1:3" x14ac:dyDescent="0.25">
      <c r="A92" s="74">
        <f t="shared" si="20"/>
        <v>0.9400000000000005</v>
      </c>
      <c r="B92" s="29">
        <f t="shared" si="18"/>
        <v>-2557.1576001033791</v>
      </c>
      <c r="C92" s="29">
        <f t="shared" si="19"/>
        <v>-799.71531007143562</v>
      </c>
    </row>
    <row r="93" spans="1:3" x14ac:dyDescent="0.25">
      <c r="A93" s="74">
        <f t="shared" si="20"/>
        <v>0.96000000000000052</v>
      </c>
      <c r="B93" s="29">
        <f t="shared" si="18"/>
        <v>-2569.1908231476609</v>
      </c>
      <c r="C93" s="29">
        <f t="shared" si="19"/>
        <v>-805.75041628626559</v>
      </c>
    </row>
    <row r="94" spans="1:3" x14ac:dyDescent="0.25">
      <c r="A94" s="74">
        <f t="shared" si="20"/>
        <v>0.98000000000000054</v>
      </c>
      <c r="B94" s="29">
        <f t="shared" si="18"/>
        <v>-2580.7314790369892</v>
      </c>
      <c r="C94" s="29">
        <f t="shared" si="19"/>
        <v>-811.50605452652144</v>
      </c>
    </row>
    <row r="95" spans="1:3" x14ac:dyDescent="0.25">
      <c r="A95" s="74">
        <f>+A94+0.02</f>
        <v>1.0000000000000004</v>
      </c>
      <c r="B95" s="29">
        <f t="shared" si="18"/>
        <v>-2591.8090695818764</v>
      </c>
      <c r="C95" s="29">
        <f t="shared" si="19"/>
        <v>-817.00116711134137</v>
      </c>
    </row>
  </sheetData>
  <mergeCells count="7">
    <mergeCell ref="B43:C43"/>
    <mergeCell ref="A22:A23"/>
    <mergeCell ref="B22:L22"/>
    <mergeCell ref="A1:L1"/>
    <mergeCell ref="A21:L21"/>
    <mergeCell ref="A2:A3"/>
    <mergeCell ref="B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1</vt:i4>
      </vt:variant>
    </vt:vector>
  </HeadingPairs>
  <TitlesOfParts>
    <vt:vector size="7" baseType="lpstr">
      <vt:lpstr>identif.+inversiones+prestamos</vt:lpstr>
      <vt:lpstr>Costos</vt:lpstr>
      <vt:lpstr>produccion-ventas</vt:lpstr>
      <vt:lpstr>flujo caja operación</vt:lpstr>
      <vt:lpstr>ev. económica</vt:lpstr>
      <vt:lpstr>Hoja6</vt:lpstr>
      <vt:lpstr>VAN &amp; TASA INTERES</vt:lpstr>
    </vt:vector>
  </TitlesOfParts>
  <Company>Universidad de Concepción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López Roudergue</dc:creator>
  <cp:lastModifiedBy>Marco López Roudergue</cp:lastModifiedBy>
  <dcterms:created xsi:type="dcterms:W3CDTF">2017-11-14T20:02:16Z</dcterms:created>
  <dcterms:modified xsi:type="dcterms:W3CDTF">2017-11-16T21:05:04Z</dcterms:modified>
</cp:coreProperties>
</file>