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 activeTab="1"/>
  </bookViews>
  <sheets>
    <sheet name="datos" sheetId="1" r:id="rId1"/>
    <sheet name="tabla costos" sheetId="2" r:id="rId2"/>
    <sheet name="CAUE &amp; Tasa interés" sheetId="5" r:id="rId3"/>
    <sheet name="CAUE &amp; periodo estudio" sheetId="6" r:id="rId4"/>
    <sheet name="DATOS GRÁFICO" sheetId="3" r:id="rId5"/>
    <sheet name="factores actualización" sheetId="4" r:id="rId6"/>
  </sheets>
  <definedNames>
    <definedName name="_xlnm.Print_Area" localSheetId="0">datos!$B$3:$M$32</definedName>
  </definedNames>
  <calcPr calcId="145621"/>
</workbook>
</file>

<file path=xl/calcChain.xml><?xml version="1.0" encoding="utf-8"?>
<calcChain xmlns="http://schemas.openxmlformats.org/spreadsheetml/2006/main">
  <c r="C4" i="2" l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6" i="2"/>
  <c r="B6" i="3" l="1"/>
  <c r="B5" i="3"/>
  <c r="B1" i="4"/>
  <c r="B9" i="4" s="1"/>
  <c r="K43" i="1"/>
  <c r="K44" i="1"/>
  <c r="K45" i="1"/>
  <c r="K46" i="1"/>
  <c r="K47" i="1"/>
  <c r="K48" i="1"/>
  <c r="K49" i="1"/>
  <c r="K50" i="1"/>
  <c r="B8" i="4" l="1"/>
  <c r="B17" i="4"/>
  <c r="B27" i="4"/>
  <c r="B11" i="4"/>
  <c r="B24" i="4"/>
  <c r="B22" i="4"/>
  <c r="B6" i="4"/>
  <c r="D9" i="4"/>
  <c r="C9" i="4"/>
  <c r="B25" i="4"/>
  <c r="B19" i="4"/>
  <c r="B14" i="4"/>
  <c r="B4" i="4"/>
  <c r="B28" i="4"/>
  <c r="B26" i="4"/>
  <c r="B21" i="4"/>
  <c r="B15" i="4"/>
  <c r="B12" i="4"/>
  <c r="B10" i="4"/>
  <c r="B5" i="4"/>
  <c r="B23" i="4"/>
  <c r="B20" i="4"/>
  <c r="B18" i="4"/>
  <c r="B13" i="4"/>
  <c r="B7" i="4"/>
  <c r="B16" i="4"/>
  <c r="D6" i="4" l="1"/>
  <c r="C6" i="4"/>
  <c r="D22" i="4"/>
  <c r="C22" i="4"/>
  <c r="D24" i="4"/>
  <c r="C24" i="4"/>
  <c r="D11" i="4"/>
  <c r="C11" i="4"/>
  <c r="D27" i="4"/>
  <c r="C27" i="4"/>
  <c r="D17" i="4"/>
  <c r="C17" i="4"/>
  <c r="D8" i="4"/>
  <c r="C8" i="4"/>
  <c r="F9" i="4"/>
  <c r="G9" i="4" s="1"/>
  <c r="E9" i="4"/>
  <c r="D23" i="4"/>
  <c r="C23" i="4"/>
  <c r="D4" i="4"/>
  <c r="C4" i="4"/>
  <c r="D5" i="4"/>
  <c r="C5" i="4"/>
  <c r="D14" i="4"/>
  <c r="C14" i="4"/>
  <c r="D19" i="4"/>
  <c r="C19" i="4"/>
  <c r="D16" i="4"/>
  <c r="C16" i="4"/>
  <c r="D7" i="4"/>
  <c r="C7" i="4"/>
  <c r="C13" i="4"/>
  <c r="D13" i="4"/>
  <c r="D21" i="4"/>
  <c r="C21" i="4"/>
  <c r="D12" i="4"/>
  <c r="C12" i="4"/>
  <c r="C18" i="4"/>
  <c r="D18" i="4"/>
  <c r="C26" i="4"/>
  <c r="D26" i="4"/>
  <c r="C10" i="4"/>
  <c r="D10" i="4"/>
  <c r="D25" i="4"/>
  <c r="C25" i="4"/>
  <c r="D15" i="4"/>
  <c r="C15" i="4"/>
  <c r="D20" i="4"/>
  <c r="C20" i="4"/>
  <c r="C28" i="4"/>
  <c r="D28" i="4"/>
  <c r="F24" i="4" l="1"/>
  <c r="G24" i="4" s="1"/>
  <c r="E24" i="4"/>
  <c r="F11" i="4"/>
  <c r="G11" i="4" s="1"/>
  <c r="E11" i="4"/>
  <c r="E17" i="4"/>
  <c r="F17" i="4"/>
  <c r="G17" i="4" s="1"/>
  <c r="E22" i="4"/>
  <c r="F22" i="4"/>
  <c r="G22" i="4" s="1"/>
  <c r="F8" i="4"/>
  <c r="G8" i="4" s="1"/>
  <c r="E8" i="4"/>
  <c r="E27" i="4"/>
  <c r="F27" i="4"/>
  <c r="G27" i="4" s="1"/>
  <c r="F6" i="4"/>
  <c r="G6" i="4" s="1"/>
  <c r="E6" i="4"/>
  <c r="F4" i="4"/>
  <c r="G4" i="4" s="1"/>
  <c r="E4" i="4"/>
  <c r="E18" i="4"/>
  <c r="F18" i="4"/>
  <c r="G18" i="4" s="1"/>
  <c r="E15" i="4"/>
  <c r="F15" i="4"/>
  <c r="G15" i="4" s="1"/>
  <c r="E7" i="4"/>
  <c r="F7" i="4"/>
  <c r="G7" i="4" s="1"/>
  <c r="E5" i="4"/>
  <c r="F5" i="4"/>
  <c r="G5" i="4" s="1"/>
  <c r="F25" i="4"/>
  <c r="G25" i="4" s="1"/>
  <c r="E25" i="4"/>
  <c r="F28" i="4"/>
  <c r="G28" i="4" s="1"/>
  <c r="E28" i="4"/>
  <c r="F10" i="4"/>
  <c r="G10" i="4" s="1"/>
  <c r="E10" i="4"/>
  <c r="F21" i="4"/>
  <c r="G21" i="4" s="1"/>
  <c r="E21" i="4"/>
  <c r="E19" i="4"/>
  <c r="F19" i="4"/>
  <c r="G19" i="4" s="1"/>
  <c r="F23" i="4"/>
  <c r="G23" i="4" s="1"/>
  <c r="E23" i="4"/>
  <c r="F12" i="4"/>
  <c r="G12" i="4" s="1"/>
  <c r="E12" i="4"/>
  <c r="F26" i="4"/>
  <c r="G26" i="4" s="1"/>
  <c r="E26" i="4"/>
  <c r="E13" i="4"/>
  <c r="F13" i="4"/>
  <c r="G13" i="4" s="1"/>
  <c r="F16" i="4"/>
  <c r="G16" i="4" s="1"/>
  <c r="E16" i="4"/>
  <c r="F20" i="4"/>
  <c r="G20" i="4" s="1"/>
  <c r="E20" i="4"/>
  <c r="F14" i="4"/>
  <c r="G14" i="4" s="1"/>
  <c r="E14" i="4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F4" i="2"/>
  <c r="F6" i="2"/>
  <c r="I11" i="1"/>
  <c r="F11" i="1"/>
  <c r="C11" i="1"/>
  <c r="B1" i="3" s="1"/>
  <c r="P6" i="2" l="1"/>
  <c r="P22" i="2"/>
  <c r="P25" i="2"/>
  <c r="P23" i="2"/>
  <c r="P14" i="2"/>
  <c r="P17" i="2"/>
  <c r="P15" i="2"/>
  <c r="P21" i="2"/>
  <c r="P9" i="2"/>
  <c r="P7" i="2"/>
  <c r="P13" i="2"/>
  <c r="P24" i="2"/>
  <c r="P10" i="2"/>
  <c r="P18" i="2"/>
  <c r="P20" i="2"/>
  <c r="P16" i="2"/>
  <c r="P12" i="2"/>
  <c r="P8" i="2"/>
  <c r="P11" i="2"/>
  <c r="P19" i="2"/>
  <c r="A18" i="2"/>
  <c r="A19" i="2"/>
  <c r="B2" i="3"/>
  <c r="B4" i="3"/>
  <c r="J5" i="2"/>
  <c r="C11" i="2"/>
  <c r="C9" i="2"/>
  <c r="B9" i="2"/>
  <c r="B11" i="2"/>
  <c r="B4" i="2"/>
  <c r="P26" i="2" l="1"/>
  <c r="E3" i="2"/>
  <c r="D5" i="2"/>
  <c r="D6" i="2"/>
  <c r="B3" i="2"/>
  <c r="C3" i="2"/>
  <c r="F3" i="2"/>
  <c r="C16" i="2" s="1"/>
  <c r="C17" i="2" s="1"/>
  <c r="D4" i="2"/>
  <c r="I5" i="2"/>
  <c r="F5" i="2"/>
  <c r="C2" i="2"/>
  <c r="E2" i="2"/>
  <c r="F2" i="2"/>
  <c r="B2" i="2"/>
  <c r="I12" i="1"/>
  <c r="F12" i="1"/>
  <c r="C12" i="1"/>
  <c r="N22" i="2" l="1"/>
  <c r="N16" i="2"/>
  <c r="N17" i="2"/>
  <c r="K16" i="2"/>
  <c r="K12" i="2"/>
  <c r="N25" i="2"/>
  <c r="K20" i="2"/>
  <c r="N11" i="2"/>
  <c r="K9" i="2"/>
  <c r="K13" i="2"/>
  <c r="N19" i="2"/>
  <c r="K25" i="2"/>
  <c r="N12" i="2"/>
  <c r="K15" i="2"/>
  <c r="K22" i="2"/>
  <c r="N20" i="2"/>
  <c r="K17" i="2"/>
  <c r="N18" i="2"/>
  <c r="K6" i="2"/>
  <c r="N21" i="2"/>
  <c r="N7" i="2"/>
  <c r="N24" i="2"/>
  <c r="N10" i="2"/>
  <c r="K24" i="2"/>
  <c r="K14" i="2"/>
  <c r="N23" i="2"/>
  <c r="K7" i="2"/>
  <c r="K21" i="2"/>
  <c r="N9" i="2"/>
  <c r="K18" i="2"/>
  <c r="N6" i="2"/>
  <c r="K23" i="2"/>
  <c r="K10" i="2"/>
  <c r="K11" i="2"/>
  <c r="N14" i="2"/>
  <c r="K8" i="2"/>
  <c r="N15" i="2"/>
  <c r="N13" i="2"/>
  <c r="N8" i="2"/>
  <c r="K19" i="2"/>
  <c r="K37" i="2"/>
  <c r="N37" i="2"/>
  <c r="I36" i="2"/>
  <c r="K36" i="2"/>
  <c r="I37" i="2"/>
  <c r="N36" i="2"/>
  <c r="I38" i="2"/>
  <c r="I39" i="2"/>
  <c r="L38" i="2"/>
  <c r="L39" i="2"/>
  <c r="I6" i="2"/>
  <c r="K38" i="2"/>
  <c r="L6" i="2" l="1"/>
  <c r="M6" i="2" s="1"/>
  <c r="N26" i="2"/>
  <c r="I7" i="2"/>
  <c r="L7" i="2" s="1"/>
  <c r="M7" i="2" s="1"/>
  <c r="I8" i="2" l="1"/>
  <c r="L8" i="2" s="1"/>
  <c r="M8" i="2" s="1"/>
  <c r="I9" i="2" l="1"/>
  <c r="L9" i="2" s="1"/>
  <c r="M9" i="2" s="1"/>
  <c r="I10" i="2" l="1"/>
  <c r="L10" i="2" l="1"/>
  <c r="M10" i="2" s="1"/>
  <c r="I11" i="2"/>
  <c r="L11" i="2" s="1"/>
  <c r="M11" i="2" s="1"/>
  <c r="I12" i="2" l="1"/>
  <c r="L12" i="2" s="1"/>
  <c r="M12" i="2" s="1"/>
  <c r="I13" i="2" l="1"/>
  <c r="L13" i="2" s="1"/>
  <c r="M13" i="2" s="1"/>
  <c r="I14" i="2" l="1"/>
  <c r="L14" i="2" s="1"/>
  <c r="M14" i="2" s="1"/>
  <c r="I15" i="2" l="1"/>
  <c r="L15" i="2" l="1"/>
  <c r="M15" i="2" s="1"/>
  <c r="I16" i="2"/>
  <c r="L16" i="2" s="1"/>
  <c r="M16" i="2" s="1"/>
  <c r="I17" i="2" l="1"/>
  <c r="L17" i="2" s="1"/>
  <c r="M17" i="2" s="1"/>
  <c r="I18" i="2" l="1"/>
  <c r="L18" i="2" s="1"/>
  <c r="M18" i="2" s="1"/>
  <c r="I19" i="2" l="1"/>
  <c r="L19" i="2" s="1"/>
  <c r="M19" i="2" s="1"/>
  <c r="I20" i="2" l="1"/>
  <c r="L20" i="2" s="1"/>
  <c r="M20" i="2" s="1"/>
  <c r="I21" i="2" l="1"/>
  <c r="L21" i="2" s="1"/>
  <c r="M21" i="2" s="1"/>
  <c r="I22" i="2" l="1"/>
  <c r="L22" i="2" s="1"/>
  <c r="M22" i="2" s="1"/>
  <c r="I23" i="2" l="1"/>
  <c r="L23" i="2" s="1"/>
  <c r="M23" i="2" s="1"/>
  <c r="I24" i="2" l="1"/>
  <c r="L24" i="2" s="1"/>
  <c r="M24" i="2" s="1"/>
  <c r="I25" i="2" l="1"/>
  <c r="L25" i="2" l="1"/>
  <c r="M25" i="2" s="1"/>
  <c r="M26" i="2" s="1"/>
  <c r="C19" i="2" l="1"/>
  <c r="C18" i="2"/>
  <c r="B3" i="3"/>
  <c r="E10" i="3" l="1"/>
  <c r="E18" i="3"/>
  <c r="E26" i="3"/>
  <c r="E14" i="3"/>
  <c r="E23" i="3"/>
  <c r="E12" i="3"/>
  <c r="E20" i="3"/>
  <c r="E28" i="3"/>
  <c r="E13" i="3"/>
  <c r="E21" i="3"/>
  <c r="E22" i="3"/>
  <c r="E15" i="3"/>
  <c r="E16" i="3"/>
  <c r="E24" i="3"/>
  <c r="E17" i="3"/>
  <c r="E25" i="3"/>
  <c r="E11" i="3"/>
  <c r="E19" i="3"/>
  <c r="E27" i="3"/>
  <c r="E9" i="3"/>
  <c r="B9" i="3"/>
  <c r="B16" i="3"/>
  <c r="B32" i="3"/>
  <c r="B48" i="3"/>
  <c r="B21" i="3"/>
  <c r="B37" i="3"/>
  <c r="B52" i="3"/>
  <c r="B45" i="3"/>
  <c r="B22" i="3"/>
  <c r="B38" i="3"/>
  <c r="B53" i="3"/>
  <c r="B23" i="3"/>
  <c r="B39" i="3"/>
  <c r="B54" i="3"/>
  <c r="B24" i="3"/>
  <c r="B40" i="3"/>
  <c r="B55" i="3"/>
  <c r="B29" i="3"/>
  <c r="B14" i="3"/>
  <c r="B30" i="3"/>
  <c r="B46" i="3"/>
  <c r="B15" i="3"/>
  <c r="B31" i="3"/>
  <c r="B47" i="3"/>
  <c r="B13" i="3"/>
  <c r="B56" i="3"/>
  <c r="B44" i="3"/>
  <c r="B11" i="3"/>
  <c r="B10" i="3"/>
  <c r="B50" i="3"/>
  <c r="B43" i="3"/>
  <c r="B41" i="3"/>
  <c r="B28" i="3"/>
  <c r="B20" i="3"/>
  <c r="B36" i="3"/>
  <c r="B51" i="3"/>
  <c r="B42" i="3"/>
  <c r="B34" i="3"/>
  <c r="B59" i="3"/>
  <c r="B58" i="3"/>
  <c r="B12" i="3"/>
  <c r="B57" i="3"/>
  <c r="B35" i="3"/>
  <c r="B27" i="3"/>
  <c r="B26" i="3"/>
  <c r="B33" i="3"/>
  <c r="B19" i="3"/>
  <c r="B18" i="3"/>
  <c r="B25" i="3"/>
  <c r="B49" i="3"/>
  <c r="B17" i="3"/>
</calcChain>
</file>

<file path=xl/comments1.xml><?xml version="1.0" encoding="utf-8"?>
<comments xmlns="http://schemas.openxmlformats.org/spreadsheetml/2006/main">
  <authors>
    <author>Marco López Roudergue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Marco López Roudergue:</t>
        </r>
        <r>
          <rPr>
            <sz val="9"/>
            <color indexed="81"/>
            <rFont val="Tahoma"/>
            <family val="2"/>
          </rPr>
          <t xml:space="preserve">
contraseña="datos"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Marco López Roudergue:</t>
        </r>
        <r>
          <rPr>
            <sz val="9"/>
            <color indexed="81"/>
            <rFont val="Tahoma"/>
            <family val="2"/>
          </rPr>
          <t xml:space="preserve">
máximo 20 AÑOS</t>
        </r>
      </text>
    </comment>
  </commentList>
</comments>
</file>

<file path=xl/comments2.xml><?xml version="1.0" encoding="utf-8"?>
<comments xmlns="http://schemas.openxmlformats.org/spreadsheetml/2006/main">
  <authors>
    <author>Marco López Roudergue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Marco López Roudergue:</t>
        </r>
        <r>
          <rPr>
            <sz val="9"/>
            <color indexed="81"/>
            <rFont val="Tahoma"/>
            <family val="2"/>
          </rPr>
          <t xml:space="preserve">
contraseña=datos</t>
        </r>
      </text>
    </comment>
  </commentList>
</comments>
</file>

<file path=xl/sharedStrings.xml><?xml version="1.0" encoding="utf-8"?>
<sst xmlns="http://schemas.openxmlformats.org/spreadsheetml/2006/main" count="72" uniqueCount="65">
  <si>
    <t>Nombre:</t>
  </si>
  <si>
    <t>Cultivo:</t>
  </si>
  <si>
    <t>Rut:</t>
  </si>
  <si>
    <t xml:space="preserve">Año </t>
  </si>
  <si>
    <t>Juan Pérez Pérez</t>
  </si>
  <si>
    <t>U.F.</t>
  </si>
  <si>
    <t>Inversión Inicial ($)</t>
  </si>
  <si>
    <t>Valor de reventa de equipos ($)</t>
  </si>
  <si>
    <t>Total  ($)</t>
  </si>
  <si>
    <t>Total ($)</t>
  </si>
  <si>
    <t>Total (U.F.)</t>
  </si>
  <si>
    <t>Costos anuales ($/año)</t>
  </si>
  <si>
    <t>Periodo estudio (años)</t>
  </si>
  <si>
    <t>Año</t>
  </si>
  <si>
    <t>Inversión inicial</t>
  </si>
  <si>
    <t>Superficie (Ha)</t>
  </si>
  <si>
    <t>Costo Anual</t>
  </si>
  <si>
    <t>Ingresos finales</t>
  </si>
  <si>
    <t xml:space="preserve">TABLA DE FLUJO DE COSTOS  (UF)  (EGRESOS "+" ; INGRESOS "-") </t>
  </si>
  <si>
    <t>Tasa de interés anual (%)</t>
  </si>
  <si>
    <t>Gasto ocasional ($)</t>
  </si>
  <si>
    <t>año</t>
  </si>
  <si>
    <t>monto ($)</t>
  </si>
  <si>
    <t>descripción</t>
  </si>
  <si>
    <t>Total</t>
  </si>
  <si>
    <t>n</t>
  </si>
  <si>
    <t>tasa interés</t>
  </si>
  <si>
    <t>(F/P,i,n)</t>
  </si>
  <si>
    <t>(P/F,i,n)</t>
  </si>
  <si>
    <t>(F/A,i,n)</t>
  </si>
  <si>
    <t>(A/F,i,n)</t>
  </si>
  <si>
    <t>(P/A,i,n)</t>
  </si>
  <si>
    <t>(A/P,i,n)</t>
  </si>
  <si>
    <t>TASA DE INTERÉS</t>
  </si>
  <si>
    <t>INVERSION INICIAL</t>
  </si>
  <si>
    <t>COSTO ANUAL</t>
  </si>
  <si>
    <t>GASTO OCASIONAL ACTUALIZADO</t>
  </si>
  <si>
    <t>VALOR REVENTA EQUIPOS</t>
  </si>
  <si>
    <t>PERIODO ESTUDIO (AÑOS)</t>
  </si>
  <si>
    <t>CAUE (m$/AÑO)</t>
  </si>
  <si>
    <t>Tasa de Interés anual</t>
  </si>
  <si>
    <t>periodo estudio</t>
  </si>
  <si>
    <t>11,111,111-1</t>
  </si>
  <si>
    <t>material hidraulico</t>
  </si>
  <si>
    <t>manzano</t>
  </si>
  <si>
    <t>mantención</t>
  </si>
  <si>
    <t>reventa</t>
  </si>
  <si>
    <t>OBSERVACIONES</t>
  </si>
  <si>
    <t>Inversión inicial por hectárea =</t>
  </si>
  <si>
    <t>riego por goteo</t>
  </si>
  <si>
    <t>tuberías distribución</t>
  </si>
  <si>
    <t>cabezal control</t>
  </si>
  <si>
    <t>instalacion equipo riego</t>
  </si>
  <si>
    <t>construcción obras anexas</t>
  </si>
  <si>
    <t>otros</t>
  </si>
  <si>
    <t>recambio elementos sistema</t>
  </si>
  <si>
    <t>costo anual energía</t>
  </si>
  <si>
    <t>gasto  ocasional</t>
  </si>
  <si>
    <t>cada año</t>
  </si>
  <si>
    <t>actualizado</t>
  </si>
  <si>
    <t>costo energía</t>
  </si>
  <si>
    <t>incremento anual real (%)</t>
  </si>
  <si>
    <t>Primer año ($)</t>
  </si>
  <si>
    <t>mano de obra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</si>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</sst>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340A]\ * #,##0_-;\-[$$-340A]\ * #,##0_-;_-[$$-340A]\ * &quot;-&quot;??_-;_-@_-"/>
    <numFmt numFmtId="165" formatCode="_-&quot;$&quot;\ * #,##0_-;\-&quot;$&quot;\ * #,##0_-;_-&quot;$&quot;\ * &quot;-&quot;??_-;_-@_-"/>
    <numFmt numFmtId="166" formatCode="_-* #,##0.0_-;\-* #,##0.0_-;_-* &quot;-&quot;_-;_-@_-"/>
    <numFmt numFmtId="167" formatCode="0.0"/>
    <numFmt numFmtId="168" formatCode="0.0000"/>
    <numFmt numFmtId="169" formatCode="_-&quot;M$/año&quot;\ * #,##0.0_-;\-&quot;$&quot;\ * #,##0.0_-;_-&quot;$&quot;\ * &quot;-&quot;??_-;_-@_-"/>
    <numFmt numFmtId="170" formatCode="_-* #,##0_-;\-* #,##0_-;_-* &quot;-&quot;??_-;_-@_-"/>
    <numFmt numFmtId="171" formatCode="_-&quot;UF/año&quot;\ * #,##0.0_-;\-&quot;$&quot;\ * #,##0.0_-;_-&quot;$&quot;\ * &quot;-&quot;??_-;_-@_-"/>
    <numFmt numFmtId="172" formatCode="_-&quot;M$/Ha&quot;\ * #,##0.0_-;\-&quot;$&quot;\ * #,##0.0_-;_-&quot;$&quot;\ * &quot;-&quot;??_-;_-@_-"/>
    <numFmt numFmtId="173" formatCode="_-&quot;UF/Ha&quot;\ * #,##0.0_-;\-&quot;$&quot;\ * #,##0.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6" fontId="0" fillId="0" borderId="5" xfId="0" applyNumberFormat="1" applyBorder="1"/>
    <xf numFmtId="0" fontId="4" fillId="0" borderId="6" xfId="0" applyFont="1" applyBorder="1"/>
    <xf numFmtId="165" fontId="4" fillId="0" borderId="3" xfId="1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3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7" fontId="0" fillId="0" borderId="0" xfId="0" applyNumberFormat="1"/>
    <xf numFmtId="1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168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1" xfId="0" applyBorder="1" applyProtection="1"/>
    <xf numFmtId="9" fontId="0" fillId="0" borderId="1" xfId="2" applyFont="1" applyBorder="1" applyProtection="1"/>
    <xf numFmtId="0" fontId="0" fillId="0" borderId="0" xfId="0" applyProtection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0" fontId="4" fillId="0" borderId="7" xfId="0" applyFont="1" applyBorder="1" applyAlignment="1">
      <alignment horizontal="center"/>
    </xf>
    <xf numFmtId="169" fontId="0" fillId="0" borderId="0" xfId="1" applyNumberFormat="1" applyFont="1" applyAlignment="1">
      <alignment horizontal="center"/>
    </xf>
    <xf numFmtId="0" fontId="7" fillId="0" borderId="1" xfId="0" applyFont="1" applyBorder="1"/>
    <xf numFmtId="165" fontId="8" fillId="0" borderId="1" xfId="0" applyNumberFormat="1" applyFont="1" applyBorder="1"/>
    <xf numFmtId="9" fontId="0" fillId="0" borderId="0" xfId="2" applyFont="1"/>
    <xf numFmtId="170" fontId="0" fillId="0" borderId="0" xfId="3" applyNumberFormat="1" applyFont="1" applyAlignment="1">
      <alignment horizontal="center"/>
    </xf>
    <xf numFmtId="169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3" xfId="0" applyNumberFormat="1" applyBorder="1"/>
    <xf numFmtId="0" fontId="0" fillId="0" borderId="0" xfId="0" applyBorder="1" applyAlignment="1">
      <alignment horizontal="left" vertical="top"/>
    </xf>
    <xf numFmtId="165" fontId="0" fillId="0" borderId="4" xfId="1" applyNumberFormat="1" applyFont="1" applyBorder="1" applyProtection="1"/>
    <xf numFmtId="173" fontId="4" fillId="0" borderId="0" xfId="1" applyNumberFormat="1" applyFont="1" applyAlignment="1">
      <alignment horizontal="center"/>
    </xf>
    <xf numFmtId="165" fontId="9" fillId="0" borderId="12" xfId="1" applyNumberFormat="1" applyFont="1" applyBorder="1" applyAlignment="1">
      <alignment horizontal="center"/>
    </xf>
    <xf numFmtId="9" fontId="9" fillId="0" borderId="18" xfId="2" applyFont="1" applyBorder="1" applyAlignment="1">
      <alignment horizontal="center"/>
    </xf>
    <xf numFmtId="0" fontId="9" fillId="0" borderId="1" xfId="0" applyFont="1" applyBorder="1"/>
    <xf numFmtId="165" fontId="9" fillId="0" borderId="1" xfId="1" applyNumberFormat="1" applyFont="1" applyBorder="1"/>
    <xf numFmtId="0" fontId="3" fillId="0" borderId="1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>
      <alignment horizontal="center"/>
    </xf>
    <xf numFmtId="171" fontId="4" fillId="0" borderId="17" xfId="1" applyNumberFormat="1" applyFont="1" applyBorder="1" applyAlignment="1">
      <alignment horizontal="center"/>
    </xf>
    <xf numFmtId="171" fontId="4" fillId="0" borderId="18" xfId="1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72" fontId="4" fillId="0" borderId="11" xfId="1" applyNumberFormat="1" applyFont="1" applyBorder="1" applyAlignment="1">
      <alignment horizontal="center"/>
    </xf>
    <xf numFmtId="172" fontId="4" fillId="0" borderId="12" xfId="1" applyNumberFormat="1" applyFont="1" applyBorder="1" applyAlignment="1">
      <alignment horizontal="center"/>
    </xf>
    <xf numFmtId="173" fontId="4" fillId="0" borderId="1" xfId="1" applyNumberFormat="1" applyFont="1" applyBorder="1" applyAlignment="1">
      <alignment horizontal="center"/>
    </xf>
    <xf numFmtId="173" fontId="4" fillId="0" borderId="14" xfId="1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69" fontId="4" fillId="0" borderId="1" xfId="1" applyNumberFormat="1" applyFont="1" applyBorder="1" applyAlignment="1">
      <alignment horizontal="center"/>
    </xf>
    <xf numFmtId="169" fontId="4" fillId="0" borderId="14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Costo Anual Uniforme Equivalente</a:t>
            </a:r>
            <a:r>
              <a:rPr lang="en-US" baseline="0"/>
              <a:t> (CAUE)</a:t>
            </a:r>
          </a:p>
          <a:p>
            <a:pPr>
              <a:defRPr/>
            </a:pPr>
            <a:r>
              <a:rPr lang="en-US"/>
              <a:t>(M$/AÑO)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'DATOS GRÁFICO'!$B$8</c:f>
              <c:strCache>
                <c:ptCount val="1"/>
                <c:pt idx="0">
                  <c:v>CAUE (m$/AÑO)</c:v>
                </c:pt>
              </c:strCache>
            </c:strRef>
          </c:tx>
          <c:xVal>
            <c:numRef>
              <c:f>'DATOS GRÁFICO'!$A$9:$A$59</c:f>
              <c:numCache>
                <c:formatCode>0%</c:formatCode>
                <c:ptCount val="51"/>
                <c:pt idx="0">
                  <c:v>1.0000000000000001E-5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</c:numCache>
            </c:numRef>
          </c:xVal>
          <c:yVal>
            <c:numRef>
              <c:f>'DATOS GRÁFICO'!$B$9:$B$59</c:f>
              <c:numCache>
                <c:formatCode>_-* #,##0_-;\-* #,##0_-;_-* "-"??_-;_-@_-</c:formatCode>
                <c:ptCount val="51"/>
                <c:pt idx="0">
                  <c:v>2684.0373669048499</c:v>
                </c:pt>
                <c:pt idx="1">
                  <c:v>2792.5077691023334</c:v>
                </c:pt>
                <c:pt idx="2">
                  <c:v>2907.6214229563502</c:v>
                </c:pt>
                <c:pt idx="3">
                  <c:v>3029.102598937016</c:v>
                </c:pt>
                <c:pt idx="4">
                  <c:v>3156.7401135799187</c:v>
                </c:pt>
                <c:pt idx="5">
                  <c:v>3290.288174492659</c:v>
                </c:pt>
                <c:pt idx="6">
                  <c:v>3429.4728780149499</c:v>
                </c:pt>
                <c:pt idx="7">
                  <c:v>3573.9988123731696</c:v>
                </c:pt>
                <c:pt idx="8">
                  <c:v>3723.5555139931998</c:v>
                </c:pt>
                <c:pt idx="9">
                  <c:v>3877.8235662579641</c:v>
                </c:pt>
                <c:pt idx="10">
                  <c:v>4036.4801778251413</c:v>
                </c:pt>
                <c:pt idx="11">
                  <c:v>4199.204126986323</c:v>
                </c:pt>
                <c:pt idx="12">
                  <c:v>4365.6800055881395</c:v>
                </c:pt>
                <c:pt idx="13">
                  <c:v>4535.6017379117084</c:v>
                </c:pt>
                <c:pt idx="14">
                  <c:v>4708.6753848510816</c:v>
                </c:pt>
                <c:pt idx="15">
                  <c:v>4884.6212709541524</c:v>
                </c:pt>
                <c:pt idx="16">
                  <c:v>5063.1754914019875</c:v>
                </c:pt>
                <c:pt idx="17">
                  <c:v>5244.0908684035694</c:v>
                </c:pt>
                <c:pt idx="18">
                  <c:v>5427.1374327437024</c:v>
                </c:pt>
                <c:pt idx="19">
                  <c:v>5612.1025074978988</c:v>
                </c:pt>
                <c:pt idx="20">
                  <c:v>5798.7904684088398</c:v>
                </c:pt>
                <c:pt idx="21">
                  <c:v>5987.0222502216375</c:v>
                </c:pt>
                <c:pt idx="22">
                  <c:v>6176.6346613783235</c:v>
                </c:pt>
                <c:pt idx="23">
                  <c:v>6367.4795616831652</c:v>
                </c:pt>
                <c:pt idx="24">
                  <c:v>6559.4229494994606</c:v>
                </c:pt>
                <c:pt idx="25">
                  <c:v>6752.3439971872858</c:v>
                </c:pt>
                <c:pt idx="26">
                  <c:v>6946.1340661552958</c:v>
                </c:pt>
                <c:pt idx="27">
                  <c:v>7140.6957262715414</c:v>
                </c:pt>
                <c:pt idx="28">
                  <c:v>7335.9417985558102</c:v>
                </c:pt>
                <c:pt idx="29">
                  <c:v>7531.794435085917</c:v>
                </c:pt>
                <c:pt idx="30">
                  <c:v>7728.1842458689116</c:v>
                </c:pt>
                <c:pt idx="31">
                  <c:v>7925.0494789990162</c:v>
                </c:pt>
                <c:pt idx="32">
                  <c:v>8122.33525767218</c:v>
                </c:pt>
                <c:pt idx="33">
                  <c:v>8319.9928754684788</c:v>
                </c:pt>
                <c:pt idx="34">
                  <c:v>8517.9791496626749</c:v>
                </c:pt>
                <c:pt idx="35">
                  <c:v>8716.2558310986715</c:v>
                </c:pt>
                <c:pt idx="36">
                  <c:v>8914.7890682894795</c:v>
                </c:pt>
                <c:pt idx="37">
                  <c:v>9113.5489228136812</c:v>
                </c:pt>
                <c:pt idx="38">
                  <c:v>9312.5089327137557</c:v>
                </c:pt>
                <c:pt idx="39">
                  <c:v>9511.6457204106937</c:v>
                </c:pt>
                <c:pt idx="40">
                  <c:v>9710.9386415919507</c:v>
                </c:pt>
                <c:pt idx="41">
                  <c:v>9910.3694715709298</c:v>
                </c:pt>
                <c:pt idx="42">
                  <c:v>10109.922125728597</c:v>
                </c:pt>
                <c:pt idx="43">
                  <c:v>10309.582410808851</c:v>
                </c:pt>
                <c:pt idx="44">
                  <c:v>10509.337804031884</c:v>
                </c:pt>
                <c:pt idx="45">
                  <c:v>10709.17725720021</c:v>
                </c:pt>
                <c:pt idx="46">
                  <c:v>10909.091023190207</c:v>
                </c:pt>
                <c:pt idx="47">
                  <c:v>11109.070502440665</c:v>
                </c:pt>
                <c:pt idx="48">
                  <c:v>11309.108107262997</c:v>
                </c:pt>
                <c:pt idx="49">
                  <c:v>11509.197142002238</c:v>
                </c:pt>
                <c:pt idx="50">
                  <c:v>11709.331697270956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57152"/>
        <c:axId val="87059072"/>
      </c:scatterChart>
      <c:valAx>
        <c:axId val="870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Tasa</a:t>
                </a:r>
                <a:r>
                  <a:rPr lang="es-CL" baseline="0"/>
                  <a:t> de Interés  anual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87059072"/>
        <c:crosses val="autoZero"/>
        <c:crossBetween val="midCat"/>
      </c:valAx>
      <c:valAx>
        <c:axId val="870590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(M$/AÑO)</a:t>
                </a:r>
              </a:p>
            </c:rich>
          </c:tx>
          <c:layout>
            <c:manualLayout>
              <c:xMode val="edge"/>
              <c:yMode val="edge"/>
              <c:x val="7.4666662977716208E-2"/>
              <c:y val="7.0699905804645691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70571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Costo Anual Uniforme Equivalente</a:t>
            </a:r>
            <a:r>
              <a:rPr lang="en-US" baseline="0"/>
              <a:t> (CAUE)</a:t>
            </a:r>
          </a:p>
          <a:p>
            <a:pPr>
              <a:defRPr/>
            </a:pPr>
            <a:r>
              <a:rPr lang="en-US"/>
              <a:t>(M$/AÑO)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'DATOS GRÁFICO'!$E$8</c:f>
              <c:strCache>
                <c:ptCount val="1"/>
                <c:pt idx="0">
                  <c:v>CAUE (m$/AÑO)</c:v>
                </c:pt>
              </c:strCache>
            </c:strRef>
          </c:tx>
          <c:xVal>
            <c:numRef>
              <c:f>'DATOS GRÁFICO'!$D$9:$D$28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'DATOS GRÁFICO'!$E$9:$E$28</c:f>
              <c:numCache>
                <c:formatCode>0</c:formatCode>
                <c:ptCount val="20"/>
                <c:pt idx="0">
                  <c:v>24337.653515016649</c:v>
                </c:pt>
                <c:pt idx="1">
                  <c:v>13700.935902332778</c:v>
                </c:pt>
                <c:pt idx="2">
                  <c:v>10172.951252847091</c:v>
                </c:pt>
                <c:pt idx="3">
                  <c:v>8422.0519362680479</c:v>
                </c:pt>
                <c:pt idx="4">
                  <c:v>7381.8782549612351</c:v>
                </c:pt>
                <c:pt idx="5">
                  <c:v>6696.9527752825079</c:v>
                </c:pt>
                <c:pt idx="6">
                  <c:v>6214.9082913501425</c:v>
                </c:pt>
                <c:pt idx="7">
                  <c:v>5859.5449752998866</c:v>
                </c:pt>
                <c:pt idx="8">
                  <c:v>5588.5162176206413</c:v>
                </c:pt>
                <c:pt idx="9">
                  <c:v>5376.403056626169</c:v>
                </c:pt>
                <c:pt idx="10">
                  <c:v>5207.0208048689829</c:v>
                </c:pt>
                <c:pt idx="11">
                  <c:v>5069.5724079433121</c:v>
                </c:pt>
                <c:pt idx="12">
                  <c:v>4956.5772031145807</c:v>
                </c:pt>
                <c:pt idx="13">
                  <c:v>4862.6873641373995</c:v>
                </c:pt>
                <c:pt idx="14">
                  <c:v>4783.9777664940621</c:v>
                </c:pt>
                <c:pt idx="15">
                  <c:v>4717.5021409712808</c:v>
                </c:pt>
                <c:pt idx="16">
                  <c:v>4661.0058583550153</c:v>
                </c:pt>
                <c:pt idx="17">
                  <c:v>4612.7344255878743</c:v>
                </c:pt>
                <c:pt idx="18">
                  <c:v>4571.3024251692441</c:v>
                </c:pt>
                <c:pt idx="19">
                  <c:v>4535.6017379117084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84416"/>
        <c:axId val="86517248"/>
      </c:scatterChart>
      <c:valAx>
        <c:axId val="870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Periodo de  estudio</a:t>
                </a:r>
                <a:endParaRPr lang="es-CL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517248"/>
        <c:crosses val="autoZero"/>
        <c:crossBetween val="midCat"/>
      </c:valAx>
      <c:valAx>
        <c:axId val="86517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(M$/AÑO)</a:t>
                </a:r>
              </a:p>
            </c:rich>
          </c:tx>
          <c:layout>
            <c:manualLayout>
              <c:xMode val="edge"/>
              <c:yMode val="edge"/>
              <c:x val="7.4666662977716208E-2"/>
              <c:y val="7.0699905804645691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8708441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73" zoomScaleNormal="73" workbookViewId="0">
      <selection activeCell="L7" sqref="L7"/>
    </sheetView>
  </sheetViews>
  <sheetFormatPr baseColWidth="10" defaultRowHeight="15" x14ac:dyDescent="0.25"/>
  <cols>
    <col min="2" max="2" width="29.7109375" customWidth="1"/>
    <col min="3" max="3" width="17.7109375" customWidth="1"/>
    <col min="4" max="4" width="11.7109375" customWidth="1"/>
    <col min="5" max="5" width="22.140625" customWidth="1"/>
    <col min="6" max="6" width="18.5703125" customWidth="1"/>
    <col min="8" max="8" width="18.5703125" customWidth="1"/>
    <col min="9" max="9" width="17.28515625" customWidth="1"/>
    <col min="12" max="12" width="17.7109375" customWidth="1"/>
    <col min="13" max="13" width="41.140625" customWidth="1"/>
  </cols>
  <sheetData>
    <row r="1" spans="1:13" x14ac:dyDescent="0.25">
      <c r="A1" s="1"/>
    </row>
    <row r="2" spans="1:13" ht="15.75" thickBot="1" x14ac:dyDescent="0.3">
      <c r="A2" s="1"/>
    </row>
    <row r="3" spans="1:13" ht="15.75" thickBot="1" x14ac:dyDescent="0.3">
      <c r="A3" s="1"/>
      <c r="B3" s="2" t="s">
        <v>0</v>
      </c>
      <c r="C3" s="52" t="s">
        <v>4</v>
      </c>
      <c r="D3" s="52"/>
      <c r="E3" s="2" t="s">
        <v>1</v>
      </c>
      <c r="F3" s="3" t="s">
        <v>44</v>
      </c>
      <c r="G3" s="18"/>
      <c r="H3" s="48" t="s">
        <v>47</v>
      </c>
      <c r="I3" s="49"/>
      <c r="J3" s="49"/>
      <c r="K3" s="49"/>
      <c r="L3" s="49"/>
      <c r="M3" s="50"/>
    </row>
    <row r="4" spans="1:13" ht="19.5" thickBot="1" x14ac:dyDescent="0.3">
      <c r="A4" s="1"/>
      <c r="B4" s="2" t="s">
        <v>2</v>
      </c>
      <c r="C4" s="52" t="s">
        <v>42</v>
      </c>
      <c r="D4" s="53"/>
      <c r="E4" s="2" t="s">
        <v>15</v>
      </c>
      <c r="F4" s="3">
        <v>7.6</v>
      </c>
      <c r="G4" s="17"/>
      <c r="H4" s="78" t="s">
        <v>49</v>
      </c>
      <c r="I4" s="79"/>
      <c r="J4" s="79"/>
      <c r="K4" s="79"/>
      <c r="L4" s="79"/>
      <c r="M4" s="80"/>
    </row>
    <row r="5" spans="1:13" x14ac:dyDescent="0.25">
      <c r="A5" s="1"/>
      <c r="B5" s="47" t="s">
        <v>19</v>
      </c>
      <c r="C5" s="51">
        <v>0.13</v>
      </c>
      <c r="D5" s="51"/>
      <c r="E5" s="4" t="s">
        <v>3</v>
      </c>
      <c r="F5" s="3">
        <v>2016</v>
      </c>
      <c r="G5" s="1"/>
      <c r="H5" s="55" t="s">
        <v>60</v>
      </c>
      <c r="I5" s="57" t="s">
        <v>62</v>
      </c>
      <c r="J5" s="57"/>
      <c r="K5" s="57"/>
      <c r="L5" s="43">
        <v>685130</v>
      </c>
      <c r="M5" s="40"/>
    </row>
    <row r="6" spans="1:13" ht="15.75" thickBot="1" x14ac:dyDescent="0.3">
      <c r="E6" s="4" t="s">
        <v>5</v>
      </c>
      <c r="F6" s="5">
        <v>26150</v>
      </c>
      <c r="G6" s="1"/>
      <c r="H6" s="56"/>
      <c r="I6" s="58" t="s">
        <v>61</v>
      </c>
      <c r="J6" s="58"/>
      <c r="K6" s="58"/>
      <c r="L6" s="44">
        <v>0</v>
      </c>
      <c r="M6" s="40"/>
    </row>
    <row r="7" spans="1:13" x14ac:dyDescent="0.25">
      <c r="E7" s="8" t="s">
        <v>12</v>
      </c>
      <c r="F7" s="8">
        <v>20</v>
      </c>
    </row>
    <row r="10" spans="1:13" ht="19.5" thickBot="1" x14ac:dyDescent="0.35">
      <c r="B10" s="54" t="s">
        <v>6</v>
      </c>
      <c r="C10" s="54"/>
      <c r="E10" s="54" t="s">
        <v>7</v>
      </c>
      <c r="F10" s="54"/>
      <c r="H10" s="54" t="s">
        <v>11</v>
      </c>
      <c r="I10" s="54"/>
      <c r="J10" s="29"/>
      <c r="K10" s="54" t="s">
        <v>20</v>
      </c>
      <c r="L10" s="54"/>
      <c r="M10" s="54"/>
    </row>
    <row r="11" spans="1:13" ht="19.5" thickBot="1" x14ac:dyDescent="0.35">
      <c r="B11" s="12" t="s">
        <v>9</v>
      </c>
      <c r="C11" s="13">
        <f>SUM(C13:C50)</f>
        <v>18712417</v>
      </c>
      <c r="E11" s="12" t="s">
        <v>8</v>
      </c>
      <c r="F11" s="13">
        <f>SUM(F13:F50)</f>
        <v>0</v>
      </c>
      <c r="H11" s="12" t="s">
        <v>8</v>
      </c>
      <c r="I11" s="13">
        <f>SUM(I13:I50)</f>
        <v>1681445</v>
      </c>
      <c r="K11" s="31" t="s">
        <v>21</v>
      </c>
      <c r="L11" s="31" t="s">
        <v>22</v>
      </c>
      <c r="M11" s="8" t="s">
        <v>23</v>
      </c>
    </row>
    <row r="12" spans="1:13" ht="15.75" thickBot="1" x14ac:dyDescent="0.3">
      <c r="B12" s="16" t="s">
        <v>10</v>
      </c>
      <c r="C12" s="39">
        <f>+C11/$F$6</f>
        <v>715.58</v>
      </c>
      <c r="E12" s="16" t="s">
        <v>10</v>
      </c>
      <c r="F12" s="11">
        <f>+F11/$F$6</f>
        <v>0</v>
      </c>
      <c r="H12" s="16" t="s">
        <v>10</v>
      </c>
      <c r="I12" s="11">
        <f>+I11/$F$6</f>
        <v>64.3</v>
      </c>
      <c r="K12" s="14">
        <f>+F5</f>
        <v>2016</v>
      </c>
      <c r="L12" s="30"/>
      <c r="M12" s="10"/>
    </row>
    <row r="13" spans="1:13" x14ac:dyDescent="0.25">
      <c r="B13" s="7" t="s">
        <v>43</v>
      </c>
      <c r="C13" s="10">
        <v>4199952</v>
      </c>
      <c r="E13" s="8" t="s">
        <v>46</v>
      </c>
      <c r="F13" s="10">
        <v>0</v>
      </c>
      <c r="H13" s="8" t="s">
        <v>63</v>
      </c>
      <c r="I13" s="10">
        <v>1242125</v>
      </c>
      <c r="K13" s="14">
        <f>IF((+$F$5+ROW()-12)&lt;=(+$F$5+$F$7),+(K12+1)," ")</f>
        <v>2017</v>
      </c>
      <c r="L13" s="30"/>
      <c r="M13" s="10"/>
    </row>
    <row r="14" spans="1:13" x14ac:dyDescent="0.25">
      <c r="B14" s="7" t="s">
        <v>50</v>
      </c>
      <c r="C14" s="10">
        <v>629692</v>
      </c>
      <c r="E14" s="8"/>
      <c r="F14" s="10"/>
      <c r="H14" s="8" t="s">
        <v>45</v>
      </c>
      <c r="I14" s="10">
        <v>439320</v>
      </c>
      <c r="K14" s="14">
        <f t="shared" ref="K14:K32" si="0">IF((+$F$5+ROW()-12)&lt;=(+$F$5+$F$7),+(K13+1)," ")</f>
        <v>2018</v>
      </c>
      <c r="L14" s="30"/>
      <c r="M14" s="10"/>
    </row>
    <row r="15" spans="1:13" x14ac:dyDescent="0.25">
      <c r="B15" s="7" t="s">
        <v>51</v>
      </c>
      <c r="C15" s="10">
        <v>4289646</v>
      </c>
      <c r="E15" s="8"/>
      <c r="F15" s="10"/>
      <c r="H15" s="8"/>
      <c r="I15" s="10"/>
      <c r="K15" s="14">
        <f t="shared" si="0"/>
        <v>2019</v>
      </c>
      <c r="L15" s="30"/>
      <c r="M15" s="10"/>
    </row>
    <row r="16" spans="1:13" x14ac:dyDescent="0.25">
      <c r="B16" s="9" t="s">
        <v>52</v>
      </c>
      <c r="C16" s="10">
        <v>7783809</v>
      </c>
      <c r="D16" s="6"/>
      <c r="E16" s="15"/>
      <c r="F16" s="10"/>
      <c r="H16" s="15"/>
      <c r="I16" s="10"/>
      <c r="K16" s="14">
        <f t="shared" si="0"/>
        <v>2020</v>
      </c>
      <c r="L16" s="30"/>
      <c r="M16" s="10"/>
    </row>
    <row r="17" spans="2:13" x14ac:dyDescent="0.25">
      <c r="B17" s="7" t="s">
        <v>53</v>
      </c>
      <c r="C17" s="10">
        <v>957874</v>
      </c>
      <c r="E17" s="8"/>
      <c r="F17" s="10"/>
      <c r="H17" s="8"/>
      <c r="I17" s="10"/>
      <c r="K17" s="14">
        <f t="shared" si="0"/>
        <v>2021</v>
      </c>
      <c r="L17" s="30"/>
      <c r="M17" s="10"/>
    </row>
    <row r="18" spans="2:13" x14ac:dyDescent="0.25">
      <c r="B18" s="7" t="s">
        <v>54</v>
      </c>
      <c r="C18" s="10">
        <v>851444</v>
      </c>
      <c r="E18" s="8"/>
      <c r="F18" s="10"/>
      <c r="H18" s="8"/>
      <c r="I18" s="10"/>
      <c r="K18" s="14">
        <f t="shared" si="0"/>
        <v>2022</v>
      </c>
      <c r="L18" s="30"/>
      <c r="M18" s="10"/>
    </row>
    <row r="19" spans="2:13" x14ac:dyDescent="0.25">
      <c r="B19" s="7"/>
      <c r="C19" s="10"/>
      <c r="E19" s="8"/>
      <c r="F19" s="10"/>
      <c r="H19" s="8"/>
      <c r="I19" s="10"/>
      <c r="K19" s="14">
        <f t="shared" si="0"/>
        <v>2023</v>
      </c>
      <c r="L19" s="30"/>
      <c r="M19" s="10"/>
    </row>
    <row r="20" spans="2:13" x14ac:dyDescent="0.25">
      <c r="B20" s="7"/>
      <c r="C20" s="10"/>
      <c r="E20" s="8"/>
      <c r="F20" s="10"/>
      <c r="H20" s="8"/>
      <c r="I20" s="10"/>
      <c r="K20" s="14">
        <f t="shared" si="0"/>
        <v>2024</v>
      </c>
      <c r="L20" s="30"/>
      <c r="M20" s="10"/>
    </row>
    <row r="21" spans="2:13" x14ac:dyDescent="0.25">
      <c r="B21" s="7"/>
      <c r="C21" s="10"/>
      <c r="E21" s="8"/>
      <c r="F21" s="10"/>
      <c r="H21" s="8"/>
      <c r="I21" s="10"/>
      <c r="K21" s="14">
        <f t="shared" si="0"/>
        <v>2025</v>
      </c>
      <c r="L21" s="30"/>
      <c r="M21" s="10"/>
    </row>
    <row r="22" spans="2:13" x14ac:dyDescent="0.25">
      <c r="B22" s="7"/>
      <c r="C22" s="10"/>
      <c r="E22" s="8"/>
      <c r="F22" s="10"/>
      <c r="H22" s="8"/>
      <c r="I22" s="10"/>
      <c r="K22" s="14">
        <f t="shared" si="0"/>
        <v>2026</v>
      </c>
      <c r="L22" s="30">
        <v>4539640</v>
      </c>
      <c r="M22" s="10" t="s">
        <v>55</v>
      </c>
    </row>
    <row r="23" spans="2:13" x14ac:dyDescent="0.25">
      <c r="B23" s="7"/>
      <c r="C23" s="10"/>
      <c r="E23" s="8"/>
      <c r="F23" s="10"/>
      <c r="H23" s="8"/>
      <c r="I23" s="10"/>
      <c r="K23" s="14">
        <f t="shared" si="0"/>
        <v>2027</v>
      </c>
      <c r="L23" s="30"/>
      <c r="M23" s="10"/>
    </row>
    <row r="24" spans="2:13" x14ac:dyDescent="0.25">
      <c r="B24" s="7"/>
      <c r="C24" s="10"/>
      <c r="E24" s="8"/>
      <c r="F24" s="10"/>
      <c r="H24" s="8"/>
      <c r="I24" s="10"/>
      <c r="K24" s="14">
        <f t="shared" si="0"/>
        <v>2028</v>
      </c>
      <c r="L24" s="30"/>
      <c r="M24" s="10"/>
    </row>
    <row r="25" spans="2:13" x14ac:dyDescent="0.25">
      <c r="B25" s="7"/>
      <c r="C25" s="10"/>
      <c r="E25" s="8"/>
      <c r="F25" s="10"/>
      <c r="H25" s="8"/>
      <c r="I25" s="10"/>
      <c r="K25" s="14">
        <f t="shared" si="0"/>
        <v>2029</v>
      </c>
      <c r="L25" s="30"/>
      <c r="M25" s="10"/>
    </row>
    <row r="26" spans="2:13" x14ac:dyDescent="0.25">
      <c r="B26" s="7"/>
      <c r="C26" s="10"/>
      <c r="E26" s="8"/>
      <c r="F26" s="10"/>
      <c r="H26" s="8"/>
      <c r="I26" s="10"/>
      <c r="K26" s="14">
        <f t="shared" si="0"/>
        <v>2030</v>
      </c>
      <c r="L26" s="30"/>
      <c r="M26" s="10"/>
    </row>
    <row r="27" spans="2:13" x14ac:dyDescent="0.25">
      <c r="B27" s="7"/>
      <c r="C27" s="10"/>
      <c r="E27" s="8"/>
      <c r="F27" s="10"/>
      <c r="H27" s="8"/>
      <c r="I27" s="10"/>
      <c r="K27" s="14">
        <f t="shared" si="0"/>
        <v>2031</v>
      </c>
      <c r="L27" s="30"/>
      <c r="M27" s="10"/>
    </row>
    <row r="28" spans="2:13" x14ac:dyDescent="0.25">
      <c r="B28" s="7"/>
      <c r="C28" s="10"/>
      <c r="E28" s="8"/>
      <c r="F28" s="10"/>
      <c r="H28" s="8"/>
      <c r="I28" s="10"/>
      <c r="K28" s="14">
        <f t="shared" si="0"/>
        <v>2032</v>
      </c>
      <c r="L28" s="30"/>
      <c r="M28" s="10"/>
    </row>
    <row r="29" spans="2:13" x14ac:dyDescent="0.25">
      <c r="B29" s="7"/>
      <c r="C29" s="10"/>
      <c r="E29" s="8"/>
      <c r="F29" s="10"/>
      <c r="H29" s="8"/>
      <c r="I29" s="10"/>
      <c r="K29" s="14">
        <f t="shared" si="0"/>
        <v>2033</v>
      </c>
      <c r="L29" s="30"/>
      <c r="M29" s="10"/>
    </row>
    <row r="30" spans="2:13" x14ac:dyDescent="0.25">
      <c r="B30" s="7"/>
      <c r="C30" s="10"/>
      <c r="E30" s="8"/>
      <c r="F30" s="10"/>
      <c r="H30" s="8"/>
      <c r="I30" s="10"/>
      <c r="K30" s="14">
        <f t="shared" si="0"/>
        <v>2034</v>
      </c>
      <c r="L30" s="30"/>
      <c r="M30" s="10"/>
    </row>
    <row r="31" spans="2:13" x14ac:dyDescent="0.25">
      <c r="B31" s="7"/>
      <c r="C31" s="10"/>
      <c r="E31" s="8"/>
      <c r="F31" s="10"/>
      <c r="H31" s="8"/>
      <c r="I31" s="10"/>
      <c r="K31" s="14">
        <f t="shared" si="0"/>
        <v>2035</v>
      </c>
      <c r="L31" s="30"/>
      <c r="M31" s="10"/>
    </row>
    <row r="32" spans="2:13" x14ac:dyDescent="0.25">
      <c r="B32" s="7"/>
      <c r="C32" s="10"/>
      <c r="E32" s="8"/>
      <c r="F32" s="10"/>
      <c r="H32" s="8"/>
      <c r="I32" s="10"/>
      <c r="K32" s="14">
        <f t="shared" si="0"/>
        <v>2036</v>
      </c>
      <c r="L32" s="30"/>
      <c r="M32" s="10"/>
    </row>
    <row r="33" spans="2:13" x14ac:dyDescent="0.25">
      <c r="B33" s="7"/>
      <c r="C33" s="10"/>
      <c r="E33" s="8"/>
      <c r="F33" s="10"/>
      <c r="H33" s="8"/>
      <c r="I33" s="10"/>
      <c r="K33" s="14" t="str">
        <f t="shared" ref="K33:K50" si="1">IF((+$F$5+ROW()-12)&lt;=(+$F$5+$F$7),+(K32+1)," ")</f>
        <v xml:space="preserve"> </v>
      </c>
      <c r="L33" s="30"/>
      <c r="M33" s="10"/>
    </row>
    <row r="34" spans="2:13" x14ac:dyDescent="0.25">
      <c r="B34" s="7"/>
      <c r="C34" s="10"/>
      <c r="E34" s="8"/>
      <c r="F34" s="10"/>
      <c r="H34" s="8"/>
      <c r="I34" s="10"/>
      <c r="K34" s="14" t="str">
        <f t="shared" si="1"/>
        <v xml:space="preserve"> </v>
      </c>
      <c r="L34" s="30"/>
      <c r="M34" s="10"/>
    </row>
    <row r="35" spans="2:13" x14ac:dyDescent="0.25">
      <c r="B35" s="7"/>
      <c r="C35" s="10"/>
      <c r="E35" s="8"/>
      <c r="F35" s="10"/>
      <c r="H35" s="8"/>
      <c r="I35" s="10"/>
      <c r="K35" s="14" t="str">
        <f t="shared" si="1"/>
        <v xml:space="preserve"> </v>
      </c>
      <c r="L35" s="30"/>
      <c r="M35" s="10"/>
    </row>
    <row r="36" spans="2:13" x14ac:dyDescent="0.25">
      <c r="B36" s="7"/>
      <c r="C36" s="10"/>
      <c r="E36" s="8"/>
      <c r="F36" s="10"/>
      <c r="H36" s="8"/>
      <c r="I36" s="10"/>
      <c r="K36" s="14" t="str">
        <f t="shared" si="1"/>
        <v xml:space="preserve"> </v>
      </c>
      <c r="L36" s="30"/>
      <c r="M36" s="10"/>
    </row>
    <row r="37" spans="2:13" x14ac:dyDescent="0.25">
      <c r="B37" s="7"/>
      <c r="C37" s="10"/>
      <c r="E37" s="8"/>
      <c r="F37" s="10"/>
      <c r="H37" s="8"/>
      <c r="I37" s="10"/>
      <c r="K37" s="14" t="str">
        <f t="shared" si="1"/>
        <v xml:space="preserve"> </v>
      </c>
      <c r="L37" s="30"/>
      <c r="M37" s="10"/>
    </row>
    <row r="38" spans="2:13" x14ac:dyDescent="0.25">
      <c r="B38" s="7"/>
      <c r="C38" s="10"/>
      <c r="E38" s="8"/>
      <c r="F38" s="10"/>
      <c r="H38" s="8"/>
      <c r="I38" s="10"/>
      <c r="K38" s="14" t="str">
        <f t="shared" si="1"/>
        <v xml:space="preserve"> </v>
      </c>
      <c r="L38" s="30"/>
      <c r="M38" s="10"/>
    </row>
    <row r="39" spans="2:13" x14ac:dyDescent="0.25">
      <c r="B39" s="7"/>
      <c r="C39" s="10"/>
      <c r="E39" s="8"/>
      <c r="F39" s="10"/>
      <c r="H39" s="8"/>
      <c r="I39" s="10"/>
      <c r="K39" s="14" t="str">
        <f t="shared" si="1"/>
        <v xml:space="preserve"> </v>
      </c>
      <c r="L39" s="30"/>
      <c r="M39" s="10"/>
    </row>
    <row r="40" spans="2:13" x14ac:dyDescent="0.25">
      <c r="B40" s="7"/>
      <c r="C40" s="10"/>
      <c r="E40" s="8"/>
      <c r="F40" s="10"/>
      <c r="H40" s="8"/>
      <c r="I40" s="10"/>
      <c r="K40" s="14" t="str">
        <f t="shared" si="1"/>
        <v xml:space="preserve"> </v>
      </c>
      <c r="L40" s="30"/>
      <c r="M40" s="10"/>
    </row>
    <row r="41" spans="2:13" x14ac:dyDescent="0.25">
      <c r="B41" s="7"/>
      <c r="C41" s="10"/>
      <c r="E41" s="8"/>
      <c r="F41" s="10"/>
      <c r="H41" s="8"/>
      <c r="I41" s="10"/>
      <c r="K41" s="14" t="str">
        <f t="shared" si="1"/>
        <v xml:space="preserve"> </v>
      </c>
      <c r="L41" s="30"/>
      <c r="M41" s="10"/>
    </row>
    <row r="42" spans="2:13" x14ac:dyDescent="0.25">
      <c r="B42" s="7"/>
      <c r="C42" s="10"/>
      <c r="E42" s="8"/>
      <c r="F42" s="10"/>
      <c r="H42" s="8"/>
      <c r="I42" s="10"/>
      <c r="K42" s="14" t="str">
        <f t="shared" si="1"/>
        <v xml:space="preserve"> </v>
      </c>
      <c r="L42" s="30"/>
      <c r="M42" s="10"/>
    </row>
    <row r="43" spans="2:13" x14ac:dyDescent="0.25">
      <c r="B43" s="7"/>
      <c r="C43" s="10"/>
      <c r="E43" s="8"/>
      <c r="F43" s="10"/>
      <c r="H43" s="8"/>
      <c r="I43" s="10"/>
      <c r="K43" s="14" t="str">
        <f t="shared" si="1"/>
        <v xml:space="preserve"> </v>
      </c>
      <c r="L43" s="30"/>
      <c r="M43" s="10"/>
    </row>
    <row r="44" spans="2:13" x14ac:dyDescent="0.25">
      <c r="B44" s="7"/>
      <c r="C44" s="10"/>
      <c r="E44" s="8"/>
      <c r="F44" s="10"/>
      <c r="H44" s="8"/>
      <c r="I44" s="10"/>
      <c r="K44" s="14" t="str">
        <f t="shared" si="1"/>
        <v xml:space="preserve"> </v>
      </c>
      <c r="L44" s="30"/>
      <c r="M44" s="10"/>
    </row>
    <row r="45" spans="2:13" x14ac:dyDescent="0.25">
      <c r="B45" s="7"/>
      <c r="C45" s="10"/>
      <c r="E45" s="8"/>
      <c r="F45" s="10"/>
      <c r="H45" s="8"/>
      <c r="I45" s="10"/>
      <c r="K45" s="14" t="str">
        <f t="shared" si="1"/>
        <v xml:space="preserve"> </v>
      </c>
      <c r="L45" s="30"/>
      <c r="M45" s="10"/>
    </row>
    <row r="46" spans="2:13" x14ac:dyDescent="0.25">
      <c r="B46" s="7"/>
      <c r="C46" s="10"/>
      <c r="E46" s="8"/>
      <c r="F46" s="10"/>
      <c r="H46" s="8"/>
      <c r="I46" s="10"/>
      <c r="K46" s="14" t="str">
        <f t="shared" si="1"/>
        <v xml:space="preserve"> </v>
      </c>
      <c r="L46" s="30"/>
      <c r="M46" s="10"/>
    </row>
    <row r="47" spans="2:13" x14ac:dyDescent="0.25">
      <c r="B47" s="7"/>
      <c r="C47" s="10"/>
      <c r="E47" s="8"/>
      <c r="F47" s="10"/>
      <c r="H47" s="8"/>
      <c r="I47" s="10"/>
      <c r="K47" s="14" t="str">
        <f t="shared" si="1"/>
        <v xml:space="preserve"> </v>
      </c>
      <c r="L47" s="30"/>
      <c r="M47" s="10"/>
    </row>
    <row r="48" spans="2:13" x14ac:dyDescent="0.25">
      <c r="B48" s="7"/>
      <c r="C48" s="10"/>
      <c r="E48" s="8"/>
      <c r="F48" s="10"/>
      <c r="H48" s="8"/>
      <c r="I48" s="10"/>
      <c r="K48" s="14" t="str">
        <f t="shared" si="1"/>
        <v xml:space="preserve"> </v>
      </c>
      <c r="L48" s="30"/>
      <c r="M48" s="10"/>
    </row>
    <row r="49" spans="2:13" x14ac:dyDescent="0.25">
      <c r="B49" s="7"/>
      <c r="C49" s="10"/>
      <c r="E49" s="8"/>
      <c r="F49" s="10"/>
      <c r="H49" s="8"/>
      <c r="I49" s="10"/>
      <c r="K49" s="14" t="str">
        <f t="shared" si="1"/>
        <v xml:space="preserve"> </v>
      </c>
      <c r="L49" s="30"/>
      <c r="M49" s="10"/>
    </row>
    <row r="50" spans="2:13" x14ac:dyDescent="0.25">
      <c r="B50" s="7"/>
      <c r="C50" s="10"/>
      <c r="E50" s="8"/>
      <c r="F50" s="10"/>
      <c r="H50" s="8"/>
      <c r="I50" s="10"/>
      <c r="K50" s="14" t="str">
        <f t="shared" si="1"/>
        <v xml:space="preserve"> </v>
      </c>
      <c r="L50" s="30"/>
      <c r="M50" s="10"/>
    </row>
  </sheetData>
  <mergeCells count="12">
    <mergeCell ref="H3:M3"/>
    <mergeCell ref="C5:D5"/>
    <mergeCell ref="C3:D3"/>
    <mergeCell ref="C4:D4"/>
    <mergeCell ref="B10:C10"/>
    <mergeCell ref="E10:F10"/>
    <mergeCell ref="H5:H6"/>
    <mergeCell ref="H4:M4"/>
    <mergeCell ref="I5:K5"/>
    <mergeCell ref="I6:K6"/>
    <mergeCell ref="K10:M10"/>
    <mergeCell ref="H10:I10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9"/>
  <sheetViews>
    <sheetView tabSelected="1" zoomScale="77" zoomScaleNormal="77" workbookViewId="0">
      <selection activeCell="C19" sqref="C19:D19"/>
    </sheetView>
  </sheetViews>
  <sheetFormatPr baseColWidth="10" defaultRowHeight="15" x14ac:dyDescent="0.25"/>
  <cols>
    <col min="2" max="2" width="24.28515625" customWidth="1"/>
    <col min="3" max="3" width="13.7109375" customWidth="1"/>
    <col min="5" max="5" width="13.5703125" customWidth="1"/>
    <col min="6" max="6" width="12.7109375" bestFit="1" customWidth="1"/>
    <col min="9" max="9" width="9.28515625" customWidth="1"/>
    <col min="10" max="10" width="14.140625" customWidth="1"/>
    <col min="11" max="11" width="15.28515625" customWidth="1"/>
    <col min="12" max="12" width="13.5703125" customWidth="1"/>
    <col min="13" max="13" width="14.140625" bestFit="1" customWidth="1"/>
    <col min="14" max="14" width="14.5703125" bestFit="1" customWidth="1"/>
    <col min="15" max="15" width="13.5703125" customWidth="1"/>
    <col min="16" max="16" width="14.85546875" customWidth="1"/>
  </cols>
  <sheetData>
    <row r="2" spans="1:16" ht="18.75" x14ac:dyDescent="0.3">
      <c r="B2" s="26" t="str">
        <f>+datos!B3</f>
        <v>Nombre:</v>
      </c>
      <c r="C2" s="60" t="str">
        <f>+datos!C3</f>
        <v>Juan Pérez Pérez</v>
      </c>
      <c r="D2" s="61"/>
      <c r="E2" s="26" t="str">
        <f>+datos!E3</f>
        <v>Cultivo:</v>
      </c>
      <c r="F2" s="26" t="str">
        <f>+datos!F3</f>
        <v>manzano</v>
      </c>
      <c r="H2" s="59" t="s">
        <v>18</v>
      </c>
      <c r="I2" s="59"/>
      <c r="J2" s="59"/>
      <c r="K2" s="59"/>
      <c r="L2" s="59"/>
      <c r="M2" s="59"/>
      <c r="N2" s="59"/>
      <c r="O2" s="59"/>
    </row>
    <row r="3" spans="1:16" x14ac:dyDescent="0.25">
      <c r="B3" s="26" t="str">
        <f>+datos!B4</f>
        <v>Rut:</v>
      </c>
      <c r="C3" s="60" t="str">
        <f>+datos!C4</f>
        <v>11,111,111-1</v>
      </c>
      <c r="D3" s="61"/>
      <c r="E3" s="26" t="str">
        <f>+datos!E4</f>
        <v>Superficie (Ha)</v>
      </c>
      <c r="F3" s="26">
        <f>+datos!F4</f>
        <v>7.6</v>
      </c>
      <c r="L3" s="62" t="s">
        <v>57</v>
      </c>
      <c r="M3" s="62"/>
      <c r="O3" s="62" t="s">
        <v>56</v>
      </c>
      <c r="P3" s="62"/>
    </row>
    <row r="4" spans="1:16" x14ac:dyDescent="0.25">
      <c r="B4" s="26" t="str">
        <f>+datos!B5</f>
        <v>Tasa de interés anual (%)</v>
      </c>
      <c r="C4" s="27">
        <f>+datos!C5</f>
        <v>0.13</v>
      </c>
      <c r="D4" s="60" t="str">
        <f>+datos!E5</f>
        <v xml:space="preserve">Año </v>
      </c>
      <c r="E4" s="60"/>
      <c r="F4" s="26">
        <f>+datos!F5</f>
        <v>2016</v>
      </c>
      <c r="I4" t="s">
        <v>13</v>
      </c>
      <c r="J4" t="s">
        <v>14</v>
      </c>
      <c r="K4" t="s">
        <v>16</v>
      </c>
      <c r="L4" s="38" t="s">
        <v>58</v>
      </c>
      <c r="M4" s="38" t="s">
        <v>59</v>
      </c>
      <c r="N4" t="s">
        <v>17</v>
      </c>
      <c r="O4" s="38" t="s">
        <v>58</v>
      </c>
      <c r="P4" s="38" t="s">
        <v>59</v>
      </c>
    </row>
    <row r="5" spans="1:16" x14ac:dyDescent="0.25">
      <c r="B5" s="28"/>
      <c r="C5" s="28"/>
      <c r="D5" s="60" t="str">
        <f>+datos!E6</f>
        <v>U.F.</v>
      </c>
      <c r="E5" s="60"/>
      <c r="F5" s="41">
        <f>+datos!F6</f>
        <v>26150</v>
      </c>
      <c r="H5">
        <v>0</v>
      </c>
      <c r="I5">
        <f>+F4</f>
        <v>2016</v>
      </c>
      <c r="J5" s="25">
        <f>+datos!C11</f>
        <v>18712417</v>
      </c>
    </row>
    <row r="6" spans="1:16" x14ac:dyDescent="0.25">
      <c r="B6" s="28"/>
      <c r="C6" s="28"/>
      <c r="D6" s="60" t="str">
        <f>+datos!E7</f>
        <v>Periodo estudio (años)</v>
      </c>
      <c r="E6" s="60"/>
      <c r="F6" s="26">
        <f>+datos!F7</f>
        <v>20</v>
      </c>
      <c r="H6">
        <v>1</v>
      </c>
      <c r="I6">
        <f>IF((+$I$5+ROW()-5)&lt;=(+$I$5+$F$6),+(I5+1)," ")</f>
        <v>2017</v>
      </c>
      <c r="K6" s="25">
        <f>IF((+$I$5+ROW()-5)&lt;=(+$I$5+$F$6),+(+datos!$I$11)," ")</f>
        <v>1681445</v>
      </c>
      <c r="L6" s="25" t="str">
        <f>IF((I6&lt;&gt;" ")*AND(VLOOKUP(I6,datos!K:L,2,FALSE)&lt;&gt;0),VLOOKUP(I6,datos!K:L,2,FALSE)," ")</f>
        <v xml:space="preserve"> </v>
      </c>
      <c r="M6" s="25" t="str">
        <f>IF(((I6&lt;&gt;" ")*AND(L6&lt;&gt;" ")),+L6/(1+$C$4)^(I6-$I$5)," ")</f>
        <v xml:space="preserve"> </v>
      </c>
      <c r="N6" s="20" t="str">
        <f>IF((+$I$5+ROW()-5)=(+$I$5+$F$6),-(+datos!$F$11)," ")</f>
        <v xml:space="preserve"> </v>
      </c>
      <c r="O6" s="25">
        <f>IF((+$I$5+ROW()-5)&lt;=(+$I$5+$F$6),+(+datos!$L$5*(1+datos!$L$6)^H5)," ")</f>
        <v>685130</v>
      </c>
      <c r="P6" s="25">
        <f t="shared" ref="P6:P24" si="0">IF(((I6&lt;&gt;" ")*AND(O6&lt;&gt;" ")),+O6/(1+$C$4)^(I6-$I$5)," ")</f>
        <v>606309.73451327439</v>
      </c>
    </row>
    <row r="7" spans="1:16" x14ac:dyDescent="0.25">
      <c r="H7">
        <v>2</v>
      </c>
      <c r="I7">
        <f t="shared" ref="I7:I37" si="1">IF((+$I$5+ROW()-5)&lt;=(+$I$5+$F$6),+(I6+1)," ")</f>
        <v>2018</v>
      </c>
      <c r="K7" s="25">
        <f>IF((+$I$5+ROW()-5)&lt;=(+$I$5+$F$6),+(+datos!$I$11)," ")</f>
        <v>1681445</v>
      </c>
      <c r="L7" s="25" t="str">
        <f>IF((I7&lt;&gt;" ")*AND(VLOOKUP(I7,datos!K:L,2,FALSE)&lt;&gt;0),VLOOKUP(I7,datos!K:L,2,FALSE)," ")</f>
        <v xml:space="preserve"> </v>
      </c>
      <c r="M7" s="25" t="str">
        <f>IF(((I7&lt;&gt;" ")*AND(L7&lt;&gt;" ")),+L7/(1+$C$4)^(I7-$I$5)," ")</f>
        <v xml:space="preserve"> </v>
      </c>
      <c r="N7" s="20" t="str">
        <f>IF((+$I$5+ROW()-5)=(+$I$5+$F$6),-(+datos!$F$11)," ")</f>
        <v xml:space="preserve"> </v>
      </c>
      <c r="O7" s="25">
        <f>IF((+$I$5+ROW()-5)&lt;=(+$I$5+$F$6),+(+datos!$L$5*(1+datos!$L$6)^H6)," ")</f>
        <v>685130</v>
      </c>
      <c r="P7" s="25">
        <f t="shared" si="0"/>
        <v>536557.28717988892</v>
      </c>
    </row>
    <row r="8" spans="1:16" x14ac:dyDescent="0.25">
      <c r="H8">
        <v>3</v>
      </c>
      <c r="I8">
        <f t="shared" si="1"/>
        <v>2019</v>
      </c>
      <c r="K8" s="25">
        <f>IF((+$I$5+ROW()-5)&lt;=(+$I$5+$F$6),+(+datos!$I$11)," ")</f>
        <v>1681445</v>
      </c>
      <c r="L8" s="25" t="str">
        <f>IF((I8&lt;&gt;" ")*AND(VLOOKUP(I8,datos!K:L,2,FALSE)&lt;&gt;0),VLOOKUP(I8,datos!K:L,2,FALSE)," ")</f>
        <v xml:space="preserve"> </v>
      </c>
      <c r="M8" s="25" t="str">
        <f t="shared" ref="M8:M25" si="2">IF(((I8&lt;&gt;" ")*AND(L8&lt;&gt;" ")),+L8/(1+$C$4)^(I8-$I$5)," ")</f>
        <v xml:space="preserve"> </v>
      </c>
      <c r="N8" s="20" t="str">
        <f>IF((+$I$5+ROW()-5)=(+$I$5+$F$6),-(+datos!$F$11)," ")</f>
        <v xml:space="preserve"> </v>
      </c>
      <c r="O8" s="25">
        <f>IF((+$I$5+ROW()-5)&lt;=(+$I$5+$F$6),+(+datos!$L$5*(1+datos!$L$6)^H7)," ")</f>
        <v>685130</v>
      </c>
      <c r="P8" s="25">
        <f t="shared" si="0"/>
        <v>474829.4576813177</v>
      </c>
    </row>
    <row r="9" spans="1:16" x14ac:dyDescent="0.25">
      <c r="B9" s="22" t="str">
        <f>CONCATENATE("(A/P, ",+($C$4*100),"% , ",+$F$6," ) = ")</f>
        <v xml:space="preserve">(A/P, 13% , 20 ) = </v>
      </c>
      <c r="C9" s="23">
        <f>+(($C$4*(1+$C$4)^$F$6)/((1+$C$4)^$F$6-1))</f>
        <v>0.14235378844181082</v>
      </c>
      <c r="F9" s="19"/>
      <c r="H9">
        <v>4</v>
      </c>
      <c r="I9">
        <f t="shared" si="1"/>
        <v>2020</v>
      </c>
      <c r="K9" s="25">
        <f>IF((+$I$5+ROW()-5)&lt;=(+$I$5+$F$6),+(+datos!$I$11)," ")</f>
        <v>1681445</v>
      </c>
      <c r="L9" s="25" t="str">
        <f>IF((I9&lt;&gt;" ")*AND(VLOOKUP(I9,datos!K:L,2,FALSE)&lt;&gt;0),VLOOKUP(I9,datos!K:L,2,FALSE)," ")</f>
        <v xml:space="preserve"> </v>
      </c>
      <c r="M9" s="25" t="str">
        <f t="shared" si="2"/>
        <v xml:space="preserve"> </v>
      </c>
      <c r="N9" s="20" t="str">
        <f>IF((+$I$5+ROW()-5)=(+$I$5+$F$6),-(+datos!$F$11)," ")</f>
        <v xml:space="preserve"> </v>
      </c>
      <c r="O9" s="25">
        <f>IF((+$I$5+ROW()-5)&lt;=(+$I$5+$F$6),+(+datos!$L$5*(1+datos!$L$6)^H8)," ")</f>
        <v>685130</v>
      </c>
      <c r="P9" s="25">
        <f t="shared" si="0"/>
        <v>420203.05989497143</v>
      </c>
    </row>
    <row r="10" spans="1:16" x14ac:dyDescent="0.25">
      <c r="H10">
        <v>5</v>
      </c>
      <c r="I10">
        <f t="shared" si="1"/>
        <v>2021</v>
      </c>
      <c r="K10" s="25">
        <f>IF((+$I$5+ROW()-5)&lt;=(+$I$5+$F$6),+(+datos!$I$11)," ")</f>
        <v>1681445</v>
      </c>
      <c r="L10" s="25" t="str">
        <f>IF((I10&lt;&gt;" ")*AND(VLOOKUP(I10,datos!K:L,2,FALSE)&lt;&gt;0),VLOOKUP(I10,datos!K:L,2,FALSE)," ")</f>
        <v xml:space="preserve"> </v>
      </c>
      <c r="M10" s="25" t="str">
        <f t="shared" si="2"/>
        <v xml:space="preserve"> </v>
      </c>
      <c r="N10" s="20" t="str">
        <f>IF((+$I$5+ROW()-5)=(+$I$5+$F$6),-(+datos!$F$11)," ")</f>
        <v xml:space="preserve"> </v>
      </c>
      <c r="O10" s="25">
        <f>IF((+$I$5+ROW()-5)&lt;=(+$I$5+$F$6),+(+datos!$L$5*(1+datos!$L$6)^H9)," ")</f>
        <v>685130</v>
      </c>
      <c r="P10" s="25">
        <f t="shared" si="0"/>
        <v>371861.11495130224</v>
      </c>
    </row>
    <row r="11" spans="1:16" x14ac:dyDescent="0.25">
      <c r="B11" s="22" t="str">
        <f>CONCATENATE("(A/F, ",+($C$4*100),"% , ",+$F$6," ) = ")</f>
        <v xml:space="preserve">(A/F, 13% , 20 ) = </v>
      </c>
      <c r="C11" s="23">
        <f>+($C$4/((1+$C$4)^$F$6-1))</f>
        <v>1.2353788441810806E-2</v>
      </c>
      <c r="H11">
        <v>6</v>
      </c>
      <c r="I11">
        <f t="shared" si="1"/>
        <v>2022</v>
      </c>
      <c r="K11" s="25">
        <f>IF((+$I$5+ROW()-5)&lt;=(+$I$5+$F$6),+(+datos!$I$11)," ")</f>
        <v>1681445</v>
      </c>
      <c r="L11" s="25" t="str">
        <f>IF((I11&lt;&gt;" ")*AND(VLOOKUP(I11,datos!K:L,2,FALSE)&lt;&gt;0),VLOOKUP(I11,datos!K:L,2,FALSE)," ")</f>
        <v xml:space="preserve"> </v>
      </c>
      <c r="M11" s="25" t="str">
        <f t="shared" si="2"/>
        <v xml:space="preserve"> </v>
      </c>
      <c r="N11" s="20" t="str">
        <f>IF((+$I$5+ROW()-5)=(+$I$5+$F$6),-(+datos!$F$11)," ")</f>
        <v xml:space="preserve"> </v>
      </c>
      <c r="O11" s="25">
        <f>IF((+$I$5+ROW()-5)&lt;=(+$I$5+$F$6),+(+datos!$L$5*(1+datos!$L$6)^H10)," ")</f>
        <v>685130</v>
      </c>
      <c r="P11" s="25">
        <f t="shared" si="0"/>
        <v>329080.63270026754</v>
      </c>
    </row>
    <row r="12" spans="1:16" x14ac:dyDescent="0.25">
      <c r="H12">
        <v>7</v>
      </c>
      <c r="I12">
        <f t="shared" si="1"/>
        <v>2023</v>
      </c>
      <c r="K12" s="25">
        <f>IF((+$I$5+ROW()-5)&lt;=(+$I$5+$F$6),+(+datos!$I$11)," ")</f>
        <v>1681445</v>
      </c>
      <c r="L12" s="25" t="str">
        <f>IF((I12&lt;&gt;" ")*AND(VLOOKUP(I12,datos!K:L,2,FALSE)&lt;&gt;0),VLOOKUP(I12,datos!K:L,2,FALSE)," ")</f>
        <v xml:space="preserve"> </v>
      </c>
      <c r="M12" s="25" t="str">
        <f t="shared" si="2"/>
        <v xml:space="preserve"> </v>
      </c>
      <c r="N12" s="20" t="str">
        <f>IF((+$I$5+ROW()-5)=(+$I$5+$F$6),-(+datos!$F$11)," ")</f>
        <v xml:space="preserve"> </v>
      </c>
      <c r="O12" s="25">
        <f>IF((+$I$5+ROW()-5)&lt;=(+$I$5+$F$6),+(+datos!$L$5*(1+datos!$L$6)^H11)," ")</f>
        <v>685130</v>
      </c>
      <c r="P12" s="25">
        <f t="shared" si="0"/>
        <v>291221.79884979426</v>
      </c>
    </row>
    <row r="13" spans="1:16" x14ac:dyDescent="0.25">
      <c r="H13">
        <v>8</v>
      </c>
      <c r="I13">
        <f t="shared" si="1"/>
        <v>2024</v>
      </c>
      <c r="K13" s="25">
        <f>IF((+$I$5+ROW()-5)&lt;=(+$I$5+$F$6),+(+datos!$I$11)," ")</f>
        <v>1681445</v>
      </c>
      <c r="L13" s="25" t="str">
        <f>IF((I13&lt;&gt;" ")*AND(VLOOKUP(I13,datos!K:L,2,FALSE)&lt;&gt;0),VLOOKUP(I13,datos!K:L,2,FALSE)," ")</f>
        <v xml:space="preserve"> </v>
      </c>
      <c r="M13" s="25" t="str">
        <f t="shared" si="2"/>
        <v xml:space="preserve"> </v>
      </c>
      <c r="N13" s="20" t="str">
        <f>IF((+$I$5+ROW()-5)=(+$I$5+$F$6),-(+datos!$F$11)," ")</f>
        <v xml:space="preserve"> </v>
      </c>
      <c r="O13" s="25">
        <f>IF((+$I$5+ROW()-5)&lt;=(+$I$5+$F$6),+(+datos!$L$5*(1+datos!$L$6)^H12)," ")</f>
        <v>685130</v>
      </c>
      <c r="P13" s="25">
        <f t="shared" si="0"/>
        <v>257718.40606176486</v>
      </c>
    </row>
    <row r="14" spans="1:16" x14ac:dyDescent="0.25">
      <c r="H14">
        <v>9</v>
      </c>
      <c r="I14">
        <f t="shared" si="1"/>
        <v>2025</v>
      </c>
      <c r="K14" s="25">
        <f>IF((+$I$5+ROW()-5)&lt;=(+$I$5+$F$6),+(+datos!$I$11)," ")</f>
        <v>1681445</v>
      </c>
      <c r="L14" s="25" t="str">
        <f>IF((I14&lt;&gt;" ")*AND(VLOOKUP(I14,datos!K:L,2,FALSE)&lt;&gt;0),VLOOKUP(I14,datos!K:L,2,FALSE)," ")</f>
        <v xml:space="preserve"> </v>
      </c>
      <c r="M14" s="25" t="str">
        <f t="shared" si="2"/>
        <v xml:space="preserve"> </v>
      </c>
      <c r="N14" s="20" t="str">
        <f>IF((+$I$5+ROW()-5)=(+$I$5+$F$6),-(+datos!$F$11)," ")</f>
        <v xml:space="preserve"> </v>
      </c>
      <c r="O14" s="25">
        <f>IF((+$I$5+ROW()-5)&lt;=(+$I$5+$F$6),+(+datos!$L$5*(1+datos!$L$6)^H13)," ")</f>
        <v>685130</v>
      </c>
      <c r="P14" s="25">
        <f t="shared" si="0"/>
        <v>228069.38589536716</v>
      </c>
    </row>
    <row r="15" spans="1:16" ht="15.75" thickBot="1" x14ac:dyDescent="0.3">
      <c r="H15">
        <v>10</v>
      </c>
      <c r="I15">
        <f t="shared" si="1"/>
        <v>2026</v>
      </c>
      <c r="K15" s="25">
        <f>IF((+$I$5+ROW()-5)&lt;=(+$I$5+$F$6),+(+datos!$I$11)," ")</f>
        <v>1681445</v>
      </c>
      <c r="L15" s="25">
        <f>IF((I15&lt;&gt;" ")*AND(VLOOKUP(I15,datos!K:L,2,FALSE)&lt;&gt;0),VLOOKUP(I15,datos!K:L,2,FALSE)," ")</f>
        <v>4539640</v>
      </c>
      <c r="M15" s="25">
        <f t="shared" si="2"/>
        <v>1337325.0486872843</v>
      </c>
      <c r="N15" s="20" t="str">
        <f>IF((+$I$5+ROW()-5)=(+$I$5+$F$6),-(+datos!$F$11)," ")</f>
        <v xml:space="preserve"> </v>
      </c>
      <c r="O15" s="25">
        <f>IF((+$I$5+ROW()-5)&lt;=(+$I$5+$F$6),+(+datos!$L$5*(1+datos!$L$6)^H14)," ")</f>
        <v>685130</v>
      </c>
      <c r="P15" s="25">
        <f>IF(((I15&lt;&gt;" ")*AND(O15&lt;&gt;" ")),+O15/(1+$C$4)^(I15-$I$5)," ")</f>
        <v>201831.31495165237</v>
      </c>
    </row>
    <row r="16" spans="1:16" ht="18.75" x14ac:dyDescent="0.3">
      <c r="A16" s="67" t="s">
        <v>48</v>
      </c>
      <c r="B16" s="68"/>
      <c r="C16" s="69">
        <f>+(J5/F3/1000)</f>
        <v>2462.1601315789476</v>
      </c>
      <c r="D16" s="70"/>
      <c r="E16" s="37"/>
      <c r="H16">
        <v>11</v>
      </c>
      <c r="I16">
        <f t="shared" si="1"/>
        <v>2027</v>
      </c>
      <c r="K16" s="25">
        <f>IF((+$I$5+ROW()-5)&lt;=(+$I$5+$F$6),+(+datos!$I$11)," ")</f>
        <v>1681445</v>
      </c>
      <c r="L16" s="25" t="str">
        <f>IF((I16&lt;&gt;" ")*AND(VLOOKUP(I16,datos!K:L,2,FALSE)&lt;&gt;0),VLOOKUP(I16,datos!K:L,2,FALSE)," ")</f>
        <v xml:space="preserve"> </v>
      </c>
      <c r="M16" s="25" t="str">
        <f t="shared" si="2"/>
        <v xml:space="preserve"> </v>
      </c>
      <c r="N16" s="20" t="str">
        <f>IF((+$I$5+ROW()-5)=(+$I$5+$F$6),-(+datos!$F$11)," ")</f>
        <v xml:space="preserve"> </v>
      </c>
      <c r="O16" s="25">
        <f>IF((+$I$5+ROW()-5)&lt;=(+$I$5+$F$6),+(+datos!$L$5*(1+datos!$L$6)^H15)," ")</f>
        <v>685130</v>
      </c>
      <c r="P16" s="25">
        <f t="shared" si="0"/>
        <v>178611.78314305522</v>
      </c>
    </row>
    <row r="17" spans="1:16" ht="18.75" x14ac:dyDescent="0.3">
      <c r="A17" s="73" t="s">
        <v>48</v>
      </c>
      <c r="B17" s="54"/>
      <c r="C17" s="71">
        <f>+C16*1000/F5</f>
        <v>94.155263157894737</v>
      </c>
      <c r="D17" s="72"/>
      <c r="E17" s="42"/>
      <c r="H17">
        <v>12</v>
      </c>
      <c r="I17">
        <f t="shared" si="1"/>
        <v>2028</v>
      </c>
      <c r="K17" s="25">
        <f>IF((+$I$5+ROW()-5)&lt;=(+$I$5+$F$6),+(+datos!$I$11)," ")</f>
        <v>1681445</v>
      </c>
      <c r="L17" s="25" t="str">
        <f>IF((I17&lt;&gt;" ")*AND(VLOOKUP(I17,datos!K:L,2,FALSE)&lt;&gt;0),VLOOKUP(I17,datos!K:L,2,FALSE)," ")</f>
        <v xml:space="preserve"> </v>
      </c>
      <c r="M17" s="25" t="str">
        <f t="shared" si="2"/>
        <v xml:space="preserve"> </v>
      </c>
      <c r="N17" s="20" t="str">
        <f>IF((+$I$5+ROW()-5)=(+$I$5+$F$6),-(+datos!$F$11)," ")</f>
        <v xml:space="preserve"> </v>
      </c>
      <c r="O17" s="25">
        <f>IF((+$I$5+ROW()-5)&lt;=(+$I$5+$F$6),+(+datos!$L$5*(1+datos!$L$6)^H16)," ")</f>
        <v>685130</v>
      </c>
      <c r="P17" s="25">
        <f t="shared" si="0"/>
        <v>158063.52490535862</v>
      </c>
    </row>
    <row r="18" spans="1:16" ht="18.75" x14ac:dyDescent="0.3">
      <c r="A18" s="65" t="str">
        <f>CONCATENATE(" CAUE (",+($C$4*100),"%) = ")</f>
        <v xml:space="preserve"> CAUE (13%) = </v>
      </c>
      <c r="B18" s="66"/>
      <c r="C18" s="76">
        <f>+((J5+M26+P26)*C9+N26*C11+K6)/1000</f>
        <v>5220.7317379117085</v>
      </c>
      <c r="D18" s="77"/>
      <c r="H18">
        <v>13</v>
      </c>
      <c r="I18">
        <f t="shared" si="1"/>
        <v>2029</v>
      </c>
      <c r="K18" s="25">
        <f>IF((+$I$5+ROW()-5)&lt;=(+$I$5+$F$6),+(+datos!$I$11)," ")</f>
        <v>1681445</v>
      </c>
      <c r="L18" s="25" t="str">
        <f>IF((I18&lt;&gt;" ")*AND(VLOOKUP(I18,datos!K:L,2,FALSE)&lt;&gt;0),VLOOKUP(I18,datos!K:L,2,FALSE)," ")</f>
        <v xml:space="preserve"> </v>
      </c>
      <c r="M18" s="25" t="str">
        <f t="shared" si="2"/>
        <v xml:space="preserve"> </v>
      </c>
      <c r="N18" s="20" t="str">
        <f>IF((+$I$5+ROW()-5)=(+$I$5+$F$6),-(+datos!$F$11)," ")</f>
        <v xml:space="preserve"> </v>
      </c>
      <c r="O18" s="25">
        <f>IF((+$I$5+ROW()-5)&lt;=(+$I$5+$F$6),+(+datos!$L$5*(1+datos!$L$6)^H17)," ")</f>
        <v>685130</v>
      </c>
      <c r="P18" s="25">
        <f t="shared" si="0"/>
        <v>139879.22557996339</v>
      </c>
    </row>
    <row r="19" spans="1:16" ht="19.5" thickBot="1" x14ac:dyDescent="0.35">
      <c r="A19" s="74" t="str">
        <f>CONCATENATE(" CAUE (",+($C$4*100),"%) = ")</f>
        <v xml:space="preserve"> CAUE (13%) = </v>
      </c>
      <c r="B19" s="75"/>
      <c r="C19" s="63">
        <f>+((J5+M26+P26)*C9+N26*C11+K6)/F5</f>
        <v>199.64557315149938</v>
      </c>
      <c r="D19" s="64"/>
      <c r="H19">
        <v>14</v>
      </c>
      <c r="I19">
        <f t="shared" si="1"/>
        <v>2030</v>
      </c>
      <c r="K19" s="25">
        <f>IF((+$I$5+ROW()-5)&lt;=(+$I$5+$F$6),+(+datos!$I$11)," ")</f>
        <v>1681445</v>
      </c>
      <c r="L19" s="25" t="str">
        <f>IF((I19&lt;&gt;" ")*AND(VLOOKUP(I19,datos!K:L,2,FALSE)&lt;&gt;0),VLOOKUP(I19,datos!K:L,2,FALSE)," ")</f>
        <v xml:space="preserve"> </v>
      </c>
      <c r="M19" s="25" t="str">
        <f t="shared" si="2"/>
        <v xml:space="preserve"> </v>
      </c>
      <c r="N19" s="20" t="str">
        <f>IF((+$I$5+ROW()-5)=(+$I$5+$F$6),-(+datos!$F$11)," ")</f>
        <v xml:space="preserve"> </v>
      </c>
      <c r="O19" s="25">
        <f>IF((+$I$5+ROW()-5)&lt;=(+$I$5+$F$6),+(+datos!$L$5*(1+datos!$L$6)^H18)," ")</f>
        <v>685130</v>
      </c>
      <c r="P19" s="25">
        <f t="shared" si="0"/>
        <v>123786.92529200304</v>
      </c>
    </row>
    <row r="20" spans="1:16" x14ac:dyDescent="0.25">
      <c r="H20">
        <v>15</v>
      </c>
      <c r="I20">
        <f t="shared" si="1"/>
        <v>2031</v>
      </c>
      <c r="K20" s="25">
        <f>IF((+$I$5+ROW()-5)&lt;=(+$I$5+$F$6),+(+datos!$I$11)," ")</f>
        <v>1681445</v>
      </c>
      <c r="L20" s="25" t="str">
        <f>IF((I20&lt;&gt;" ")*AND(VLOOKUP(I20,datos!K:L,2,FALSE)&lt;&gt;0),VLOOKUP(I20,datos!K:L,2,FALSE)," ")</f>
        <v xml:space="preserve"> </v>
      </c>
      <c r="M20" s="25" t="str">
        <f t="shared" si="2"/>
        <v xml:space="preserve"> </v>
      </c>
      <c r="N20" s="20" t="str">
        <f>IF((+$I$5+ROW()-5)=(+$I$5+$F$6),-(+datos!$F$11)," ")</f>
        <v xml:space="preserve"> </v>
      </c>
      <c r="O20" s="25">
        <f>IF((+$I$5+ROW()-5)&lt;=(+$I$5+$F$6),+(+datos!$L$5*(1+datos!$L$6)^H19)," ")</f>
        <v>685130</v>
      </c>
      <c r="P20" s="25">
        <f t="shared" si="0"/>
        <v>109545.95158584339</v>
      </c>
    </row>
    <row r="21" spans="1:16" x14ac:dyDescent="0.25">
      <c r="H21">
        <v>16</v>
      </c>
      <c r="I21">
        <f t="shared" si="1"/>
        <v>2032</v>
      </c>
      <c r="K21" s="25">
        <f>IF((+$I$5+ROW()-5)&lt;=(+$I$5+$F$6),+(+datos!$I$11)," ")</f>
        <v>1681445</v>
      </c>
      <c r="L21" s="25" t="str">
        <f>IF((I21&lt;&gt;" ")*AND(VLOOKUP(I21,datos!K:L,2,FALSE)&lt;&gt;0),VLOOKUP(I21,datos!K:L,2,FALSE)," ")</f>
        <v xml:space="preserve"> </v>
      </c>
      <c r="M21" s="25" t="str">
        <f t="shared" si="2"/>
        <v xml:space="preserve"> </v>
      </c>
      <c r="N21" s="20" t="str">
        <f>IF((+$I$5+ROW()-5)=(+$I$5+$F$6),-(+datos!$F$11)," ")</f>
        <v xml:space="preserve"> </v>
      </c>
      <c r="O21" s="25">
        <f>IF((+$I$5+ROW()-5)&lt;=(+$I$5+$F$6),+(+datos!$L$5*(1+datos!$L$6)^H20)," ")</f>
        <v>685130</v>
      </c>
      <c r="P21" s="25">
        <f t="shared" si="0"/>
        <v>96943.319987472045</v>
      </c>
    </row>
    <row r="22" spans="1:16" x14ac:dyDescent="0.25">
      <c r="H22">
        <v>17</v>
      </c>
      <c r="I22">
        <f t="shared" si="1"/>
        <v>2033</v>
      </c>
      <c r="K22" s="25">
        <f>IF((+$I$5+ROW()-5)&lt;=(+$I$5+$F$6),+(+datos!$I$11)," ")</f>
        <v>1681445</v>
      </c>
      <c r="L22" s="25" t="str">
        <f>IF((I22&lt;&gt;" ")*AND(VLOOKUP(I22,datos!K:L,2,FALSE)&lt;&gt;0),VLOOKUP(I22,datos!K:L,2,FALSE)," ")</f>
        <v xml:space="preserve"> </v>
      </c>
      <c r="M22" s="25" t="str">
        <f t="shared" si="2"/>
        <v xml:space="preserve"> </v>
      </c>
      <c r="N22" s="20" t="str">
        <f>IF((+$I$5+ROW()-5)=(+$I$5+$F$6),-(+datos!$F$11)," ")</f>
        <v xml:space="preserve"> </v>
      </c>
      <c r="O22" s="25">
        <f>IF((+$I$5+ROW()-5)&lt;=(+$I$5+$F$6),+(+datos!$L$5*(1+datos!$L$6)^H21)," ")</f>
        <v>685130</v>
      </c>
      <c r="P22" s="25">
        <f t="shared" si="0"/>
        <v>85790.548661479683</v>
      </c>
    </row>
    <row r="23" spans="1:16" x14ac:dyDescent="0.25">
      <c r="H23">
        <v>18</v>
      </c>
      <c r="I23">
        <f t="shared" si="1"/>
        <v>2034</v>
      </c>
      <c r="K23" s="25">
        <f>IF((+$I$5+ROW()-5)&lt;=(+$I$5+$F$6),+(+datos!$I$11)," ")</f>
        <v>1681445</v>
      </c>
      <c r="L23" s="25" t="str">
        <f>IF((I23&lt;&gt;" ")*AND(VLOOKUP(I23,datos!K:L,2,FALSE)&lt;&gt;0),VLOOKUP(I23,datos!K:L,2,FALSE)," ")</f>
        <v xml:space="preserve"> </v>
      </c>
      <c r="M23" s="25" t="str">
        <f t="shared" si="2"/>
        <v xml:space="preserve"> </v>
      </c>
      <c r="N23" s="20" t="str">
        <f>IF((+$I$5+ROW()-5)=(+$I$5+$F$6),-(+datos!$F$11)," ")</f>
        <v xml:space="preserve"> </v>
      </c>
      <c r="O23" s="25">
        <f>IF((+$I$5+ROW()-5)&lt;=(+$I$5+$F$6),+(+datos!$L$5*(1+datos!$L$6)^H22)," ")</f>
        <v>685130</v>
      </c>
      <c r="P23" s="25">
        <f t="shared" si="0"/>
        <v>75920.839523433358</v>
      </c>
    </row>
    <row r="24" spans="1:16" x14ac:dyDescent="0.25">
      <c r="H24">
        <v>19</v>
      </c>
      <c r="I24">
        <f t="shared" si="1"/>
        <v>2035</v>
      </c>
      <c r="K24" s="25">
        <f>IF((+$I$5+ROW()-5)&lt;=(+$I$5+$F$6),+(+datos!$I$11)," ")</f>
        <v>1681445</v>
      </c>
      <c r="L24" s="25" t="str">
        <f>IF((I24&lt;&gt;" ")*AND(VLOOKUP(I24,datos!K:L,2,FALSE)&lt;&gt;0),VLOOKUP(I24,datos!K:L,2,FALSE)," ")</f>
        <v xml:space="preserve"> </v>
      </c>
      <c r="M24" s="25" t="str">
        <f t="shared" si="2"/>
        <v xml:space="preserve"> </v>
      </c>
      <c r="N24" s="20" t="str">
        <f>IF((+$I$5+ROW()-5)=(+$I$5+$F$6),-(+datos!$F$11)," ")</f>
        <v xml:space="preserve"> </v>
      </c>
      <c r="O24" s="25">
        <f>IF((+$I$5+ROW()-5)&lt;=(+$I$5+$F$6),+(+datos!$L$5*(1+datos!$L$6)^H23)," ")</f>
        <v>685130</v>
      </c>
      <c r="P24" s="25">
        <f t="shared" si="0"/>
        <v>67186.583649056091</v>
      </c>
    </row>
    <row r="25" spans="1:16" x14ac:dyDescent="0.25">
      <c r="H25">
        <v>20</v>
      </c>
      <c r="I25">
        <f t="shared" si="1"/>
        <v>2036</v>
      </c>
      <c r="K25" s="25">
        <f>IF((+$I$5+ROW()-5)&lt;=(+$I$5+$F$6),+(+datos!$I$11)," ")</f>
        <v>1681445</v>
      </c>
      <c r="L25" s="25" t="str">
        <f>IF((I25&lt;&gt;" ")*AND(VLOOKUP(I25,datos!K:L,2,FALSE)&lt;&gt;0),VLOOKUP(I25,datos!K:L,2,FALSE)," ")</f>
        <v xml:space="preserve"> </v>
      </c>
      <c r="M25" s="25" t="str">
        <f t="shared" si="2"/>
        <v xml:space="preserve"> </v>
      </c>
      <c r="N25" s="20">
        <f>IF((+$I$5+ROW()-5)=(+$I$5+$F$6),-(+datos!$F$11)," ")</f>
        <v>0</v>
      </c>
      <c r="O25" s="25">
        <f>IF((+$I$5+ROW()-5)&lt;=(+$I$5+$F$6),+(+datos!$L$5*(1+datos!$L$6)^H24)," ")</f>
        <v>685130</v>
      </c>
      <c r="P25" s="25">
        <f>IF(((I25&lt;&gt;" ")*AND(O25&lt;&gt;" ")),+O25/(1+$C$4)^(I25-$I$5)," ")</f>
        <v>59457.153671731052</v>
      </c>
    </row>
    <row r="26" spans="1:16" ht="15.75" x14ac:dyDescent="0.25">
      <c r="K26" s="25"/>
      <c r="L26" s="33" t="s">
        <v>24</v>
      </c>
      <c r="M26" s="34">
        <f>SUM(M6:M25)</f>
        <v>1337325.0486872843</v>
      </c>
      <c r="N26" s="34">
        <f>SUM(N6:N25)</f>
        <v>0</v>
      </c>
      <c r="O26" s="45" t="s">
        <v>64</v>
      </c>
      <c r="P26" s="46">
        <f>SUM(P6:P25)</f>
        <v>4812868.048678997</v>
      </c>
    </row>
    <row r="27" spans="1:16" x14ac:dyDescent="0.25">
      <c r="K27" s="25"/>
      <c r="N27" s="20"/>
    </row>
    <row r="28" spans="1:16" x14ac:dyDescent="0.25">
      <c r="K28" s="25"/>
      <c r="N28" s="20"/>
    </row>
    <row r="29" spans="1:16" x14ac:dyDescent="0.25">
      <c r="K29" s="25"/>
      <c r="N29" s="20"/>
    </row>
    <row r="30" spans="1:16" x14ac:dyDescent="0.25">
      <c r="K30" s="25"/>
      <c r="N30" s="20"/>
    </row>
    <row r="31" spans="1:16" x14ac:dyDescent="0.25">
      <c r="K31" s="25"/>
      <c r="N31" s="20"/>
    </row>
    <row r="32" spans="1:16" x14ac:dyDescent="0.25">
      <c r="K32" s="25"/>
      <c r="N32" s="20"/>
    </row>
    <row r="33" spans="9:14" x14ac:dyDescent="0.25">
      <c r="K33" s="25"/>
      <c r="N33" s="20"/>
    </row>
    <row r="34" spans="9:14" x14ac:dyDescent="0.25">
      <c r="K34" s="25"/>
      <c r="N34" s="20"/>
    </row>
    <row r="35" spans="9:14" x14ac:dyDescent="0.25">
      <c r="K35" s="25"/>
      <c r="N35" s="20"/>
    </row>
    <row r="36" spans="9:14" x14ac:dyDescent="0.25">
      <c r="I36" t="str">
        <f t="shared" si="1"/>
        <v xml:space="preserve"> </v>
      </c>
      <c r="K36" s="25" t="str">
        <f>IF((+$I$5+ROW()-5)&lt;=(+$I$5+$F$6),+(+datos!$F$11)," ")</f>
        <v xml:space="preserve"> </v>
      </c>
      <c r="N36" s="20" t="str">
        <f>IF((+$I$5+ROW()-5)=(+$I$5+$F$6),-(+datos!$I$11)," ")</f>
        <v xml:space="preserve"> </v>
      </c>
    </row>
    <row r="37" spans="9:14" x14ac:dyDescent="0.25">
      <c r="I37" t="str">
        <f t="shared" si="1"/>
        <v xml:space="preserve"> </v>
      </c>
      <c r="K37" s="25" t="str">
        <f>IF((+$I$5+ROW()-5)&lt;=(+$I$5+$F$6),+(+datos!$F$11)," ")</f>
        <v xml:space="preserve"> </v>
      </c>
      <c r="N37" s="20" t="str">
        <f>IF((+$I$5+ROW()-5)=(+$I$5+$F$6),-(+datos!$I$11)," ")</f>
        <v xml:space="preserve"> </v>
      </c>
    </row>
    <row r="38" spans="9:14" x14ac:dyDescent="0.25">
      <c r="I38" t="str">
        <f t="shared" ref="I38:I39" si="3">IF((+$I$5+ROW()-5)&lt;=(+$I$5+$F$6),+(I37+1)," ")</f>
        <v xml:space="preserve"> </v>
      </c>
      <c r="K38" s="19" t="str">
        <f>IF((+$I$5+ROW()-5)&lt;=(+$I$5+$F$6),+(+datos!$F$12)," ")</f>
        <v xml:space="preserve"> </v>
      </c>
      <c r="L38" s="20" t="str">
        <f>IF((+$I$5+ROW()-5)=(+$I$5+$F$6),-(+datos!$I$12)," ")</f>
        <v xml:space="preserve"> </v>
      </c>
    </row>
    <row r="39" spans="9:14" x14ac:dyDescent="0.25">
      <c r="I39" t="str">
        <f t="shared" si="3"/>
        <v xml:space="preserve"> </v>
      </c>
      <c r="L39" s="20" t="str">
        <f>IF((+$I$5+ROW()-5)=(+$I$5+$F$6),-(+datos!$I$12)," ")</f>
        <v xml:space="preserve"> </v>
      </c>
    </row>
  </sheetData>
  <sheetProtection insertColumns="0" insertRows="0"/>
  <mergeCells count="16">
    <mergeCell ref="C19:D19"/>
    <mergeCell ref="A18:B18"/>
    <mergeCell ref="A16:B16"/>
    <mergeCell ref="C16:D16"/>
    <mergeCell ref="C17:D17"/>
    <mergeCell ref="A17:B17"/>
    <mergeCell ref="A19:B19"/>
    <mergeCell ref="C18:D18"/>
    <mergeCell ref="H2:O2"/>
    <mergeCell ref="C2:D2"/>
    <mergeCell ref="C3:D3"/>
    <mergeCell ref="D6:E6"/>
    <mergeCell ref="D4:E4"/>
    <mergeCell ref="D5:E5"/>
    <mergeCell ref="L3:M3"/>
    <mergeCell ref="O3:P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>
      <selection activeCell="E28" sqref="E28"/>
    </sheetView>
  </sheetViews>
  <sheetFormatPr baseColWidth="10" defaultRowHeight="15" x14ac:dyDescent="0.25"/>
  <cols>
    <col min="1" max="1" width="31.140625" bestFit="1" customWidth="1"/>
    <col min="2" max="2" width="15.28515625" bestFit="1" customWidth="1"/>
    <col min="4" max="4" width="15.140625" bestFit="1" customWidth="1"/>
    <col min="5" max="5" width="15.28515625" bestFit="1" customWidth="1"/>
  </cols>
  <sheetData>
    <row r="1" spans="1:5" x14ac:dyDescent="0.25">
      <c r="A1" t="s">
        <v>34</v>
      </c>
      <c r="B1" s="25">
        <f>+datos!C11</f>
        <v>18712417</v>
      </c>
    </row>
    <row r="2" spans="1:5" x14ac:dyDescent="0.25">
      <c r="A2" t="s">
        <v>35</v>
      </c>
      <c r="B2" s="25">
        <f>+datos!I11</f>
        <v>1681445</v>
      </c>
    </row>
    <row r="3" spans="1:5" x14ac:dyDescent="0.25">
      <c r="A3" t="s">
        <v>36</v>
      </c>
      <c r="B3" s="25">
        <f>+'tabla costos'!M26</f>
        <v>1337325.0486872843</v>
      </c>
    </row>
    <row r="4" spans="1:5" x14ac:dyDescent="0.25">
      <c r="A4" t="s">
        <v>37</v>
      </c>
      <c r="B4" s="25">
        <f>+datos!F11</f>
        <v>0</v>
      </c>
    </row>
    <row r="5" spans="1:5" x14ac:dyDescent="0.25">
      <c r="A5" t="s">
        <v>38</v>
      </c>
      <c r="B5">
        <f>+datos!F7</f>
        <v>20</v>
      </c>
    </row>
    <row r="6" spans="1:5" x14ac:dyDescent="0.25">
      <c r="A6" t="s">
        <v>40</v>
      </c>
      <c r="B6" s="21">
        <f>+datos!C5</f>
        <v>0.13</v>
      </c>
    </row>
    <row r="8" spans="1:5" x14ac:dyDescent="0.25">
      <c r="A8" s="24" t="s">
        <v>33</v>
      </c>
      <c r="B8" s="29" t="s">
        <v>39</v>
      </c>
      <c r="D8" t="s">
        <v>41</v>
      </c>
      <c r="E8" s="29" t="s">
        <v>39</v>
      </c>
    </row>
    <row r="9" spans="1:5" x14ac:dyDescent="0.25">
      <c r="A9" s="35">
        <v>1.0000000000000001E-5</v>
      </c>
      <c r="B9" s="36">
        <f>((+$B$1+$B$3)*(((1+A9)^$B$5*A9)/((1+A9)^$B$5-1))-$B$4*(A9/((1+A9)^$B$5-1))+$B$2)/1000</f>
        <v>2684.0373669048499</v>
      </c>
      <c r="C9" s="32"/>
      <c r="D9">
        <v>1</v>
      </c>
      <c r="E9" s="20">
        <f>((+$B$1+$B$3)*(((1+$B$6)^D9*$B$6)/((1+$B$6)^D9-1))-(($B$4/(1+$B$6)^$B$5))*($B$6*(1+$B$6)^D9/((1+$B$6)^D9-1))+$B$2)/1000</f>
        <v>24337.653515016649</v>
      </c>
    </row>
    <row r="10" spans="1:5" x14ac:dyDescent="0.25">
      <c r="A10" s="35">
        <v>0.01</v>
      </c>
      <c r="B10" s="36">
        <f t="shared" ref="B10:B59" si="0">((+$B$1+$B$3)*(((1+A10)^$B$5*A10)/((1+A10)^$B$5-1))-$B$4*(A10/((1+A10)^$B$5-1))+$B$2)/1000</f>
        <v>2792.5077691023334</v>
      </c>
      <c r="D10">
        <v>2</v>
      </c>
      <c r="E10" s="20">
        <f t="shared" ref="E10:E28" si="1">((+$B$1+$B$3)*(((1+$B$6)^D10*$B$6)/((1+$B$6)^D10-1))-(($B$4/(1+$B$6)^$B$5))*($B$6*(1+$B$6)^D10/((1+$B$6)^D10-1))+$B$2)/1000</f>
        <v>13700.935902332778</v>
      </c>
    </row>
    <row r="11" spans="1:5" x14ac:dyDescent="0.25">
      <c r="A11" s="35">
        <v>0.02</v>
      </c>
      <c r="B11" s="36">
        <f t="shared" si="0"/>
        <v>2907.6214229563502</v>
      </c>
      <c r="D11">
        <v>3</v>
      </c>
      <c r="E11" s="20">
        <f t="shared" si="1"/>
        <v>10172.951252847091</v>
      </c>
    </row>
    <row r="12" spans="1:5" x14ac:dyDescent="0.25">
      <c r="A12" s="35">
        <v>0.03</v>
      </c>
      <c r="B12" s="36">
        <f t="shared" si="0"/>
        <v>3029.102598937016</v>
      </c>
      <c r="D12">
        <v>4</v>
      </c>
      <c r="E12" s="20">
        <f t="shared" si="1"/>
        <v>8422.0519362680479</v>
      </c>
    </row>
    <row r="13" spans="1:5" x14ac:dyDescent="0.25">
      <c r="A13" s="35">
        <v>0.04</v>
      </c>
      <c r="B13" s="36">
        <f t="shared" si="0"/>
        <v>3156.7401135799187</v>
      </c>
      <c r="D13">
        <v>5</v>
      </c>
      <c r="E13" s="20">
        <f t="shared" si="1"/>
        <v>7381.8782549612351</v>
      </c>
    </row>
    <row r="14" spans="1:5" x14ac:dyDescent="0.25">
      <c r="A14" s="35">
        <v>0.05</v>
      </c>
      <c r="B14" s="36">
        <f t="shared" si="0"/>
        <v>3290.288174492659</v>
      </c>
      <c r="D14">
        <v>6</v>
      </c>
      <c r="E14" s="20">
        <f t="shared" si="1"/>
        <v>6696.9527752825079</v>
      </c>
    </row>
    <row r="15" spans="1:5" x14ac:dyDescent="0.25">
      <c r="A15" s="35">
        <v>0.06</v>
      </c>
      <c r="B15" s="36">
        <f t="shared" si="0"/>
        <v>3429.4728780149499</v>
      </c>
      <c r="D15">
        <v>7</v>
      </c>
      <c r="E15" s="20">
        <f t="shared" si="1"/>
        <v>6214.9082913501425</v>
      </c>
    </row>
    <row r="16" spans="1:5" x14ac:dyDescent="0.25">
      <c r="A16" s="35">
        <v>7.0000000000000007E-2</v>
      </c>
      <c r="B16" s="36">
        <f t="shared" si="0"/>
        <v>3573.9988123731696</v>
      </c>
      <c r="D16">
        <v>8</v>
      </c>
      <c r="E16" s="20">
        <f t="shared" si="1"/>
        <v>5859.5449752998866</v>
      </c>
    </row>
    <row r="17" spans="1:5" x14ac:dyDescent="0.25">
      <c r="A17" s="35">
        <v>0.08</v>
      </c>
      <c r="B17" s="36">
        <f t="shared" si="0"/>
        <v>3723.5555139931998</v>
      </c>
      <c r="D17">
        <v>9</v>
      </c>
      <c r="E17" s="20">
        <f t="shared" si="1"/>
        <v>5588.5162176206413</v>
      </c>
    </row>
    <row r="18" spans="1:5" x14ac:dyDescent="0.25">
      <c r="A18" s="35">
        <v>0.09</v>
      </c>
      <c r="B18" s="36">
        <f t="shared" si="0"/>
        <v>3877.8235662579641</v>
      </c>
      <c r="D18">
        <v>10</v>
      </c>
      <c r="E18" s="20">
        <f t="shared" si="1"/>
        <v>5376.403056626169</v>
      </c>
    </row>
    <row r="19" spans="1:5" x14ac:dyDescent="0.25">
      <c r="A19" s="35">
        <v>0.1</v>
      </c>
      <c r="B19" s="36">
        <f t="shared" si="0"/>
        <v>4036.4801778251413</v>
      </c>
      <c r="D19">
        <v>11</v>
      </c>
      <c r="E19" s="20">
        <f t="shared" si="1"/>
        <v>5207.0208048689829</v>
      </c>
    </row>
    <row r="20" spans="1:5" x14ac:dyDescent="0.25">
      <c r="A20" s="35">
        <v>0.11</v>
      </c>
      <c r="B20" s="36">
        <f t="shared" si="0"/>
        <v>4199.204126986323</v>
      </c>
      <c r="D20">
        <v>12</v>
      </c>
      <c r="E20" s="20">
        <f t="shared" si="1"/>
        <v>5069.5724079433121</v>
      </c>
    </row>
    <row r="21" spans="1:5" x14ac:dyDescent="0.25">
      <c r="A21" s="35">
        <v>0.12</v>
      </c>
      <c r="B21" s="36">
        <f t="shared" si="0"/>
        <v>4365.6800055881395</v>
      </c>
      <c r="D21">
        <v>13</v>
      </c>
      <c r="E21" s="20">
        <f t="shared" si="1"/>
        <v>4956.5772031145807</v>
      </c>
    </row>
    <row r="22" spans="1:5" x14ac:dyDescent="0.25">
      <c r="A22" s="35">
        <v>0.13</v>
      </c>
      <c r="B22" s="36">
        <f t="shared" si="0"/>
        <v>4535.6017379117084</v>
      </c>
      <c r="D22">
        <v>14</v>
      </c>
      <c r="E22" s="20">
        <f t="shared" si="1"/>
        <v>4862.6873641373995</v>
      </c>
    </row>
    <row r="23" spans="1:5" x14ac:dyDescent="0.25">
      <c r="A23" s="35">
        <v>0.14000000000000001</v>
      </c>
      <c r="B23" s="36">
        <f t="shared" si="0"/>
        <v>4708.6753848510816</v>
      </c>
      <c r="D23">
        <v>15</v>
      </c>
      <c r="E23" s="20">
        <f t="shared" si="1"/>
        <v>4783.9777664940621</v>
      </c>
    </row>
    <row r="24" spans="1:5" x14ac:dyDescent="0.25">
      <c r="A24" s="35">
        <v>0.15</v>
      </c>
      <c r="B24" s="36">
        <f t="shared" si="0"/>
        <v>4884.6212709541524</v>
      </c>
      <c r="D24">
        <v>16</v>
      </c>
      <c r="E24" s="20">
        <f t="shared" si="1"/>
        <v>4717.5021409712808</v>
      </c>
    </row>
    <row r="25" spans="1:5" x14ac:dyDescent="0.25">
      <c r="A25" s="35">
        <v>0.16</v>
      </c>
      <c r="B25" s="36">
        <f t="shared" si="0"/>
        <v>5063.1754914019875</v>
      </c>
      <c r="D25">
        <v>17</v>
      </c>
      <c r="E25" s="20">
        <f t="shared" si="1"/>
        <v>4661.0058583550153</v>
      </c>
    </row>
    <row r="26" spans="1:5" x14ac:dyDescent="0.25">
      <c r="A26" s="35">
        <v>0.17</v>
      </c>
      <c r="B26" s="36">
        <f t="shared" si="0"/>
        <v>5244.0908684035694</v>
      </c>
      <c r="D26">
        <v>18</v>
      </c>
      <c r="E26" s="20">
        <f t="shared" si="1"/>
        <v>4612.7344255878743</v>
      </c>
    </row>
    <row r="27" spans="1:5" x14ac:dyDescent="0.25">
      <c r="A27" s="35">
        <v>0.18</v>
      </c>
      <c r="B27" s="36">
        <f t="shared" si="0"/>
        <v>5427.1374327437024</v>
      </c>
      <c r="D27">
        <v>19</v>
      </c>
      <c r="E27" s="20">
        <f t="shared" si="1"/>
        <v>4571.3024251692441</v>
      </c>
    </row>
    <row r="28" spans="1:5" x14ac:dyDescent="0.25">
      <c r="A28" s="35">
        <v>0.19</v>
      </c>
      <c r="B28" s="36">
        <f t="shared" si="0"/>
        <v>5612.1025074978988</v>
      </c>
      <c r="D28">
        <v>20</v>
      </c>
      <c r="E28" s="20">
        <f t="shared" si="1"/>
        <v>4535.6017379117084</v>
      </c>
    </row>
    <row r="29" spans="1:5" x14ac:dyDescent="0.25">
      <c r="A29" s="35">
        <v>0.2</v>
      </c>
      <c r="B29" s="36">
        <f t="shared" si="0"/>
        <v>5798.7904684088398</v>
      </c>
    </row>
    <row r="30" spans="1:5" x14ac:dyDescent="0.25">
      <c r="A30" s="35">
        <v>0.21</v>
      </c>
      <c r="B30" s="36">
        <f t="shared" si="0"/>
        <v>5987.0222502216375</v>
      </c>
    </row>
    <row r="31" spans="1:5" x14ac:dyDescent="0.25">
      <c r="A31" s="35">
        <v>0.22</v>
      </c>
      <c r="B31" s="36">
        <f t="shared" si="0"/>
        <v>6176.6346613783235</v>
      </c>
    </row>
    <row r="32" spans="1:5" x14ac:dyDescent="0.25">
      <c r="A32" s="35">
        <v>0.23</v>
      </c>
      <c r="B32" s="36">
        <f t="shared" si="0"/>
        <v>6367.4795616831652</v>
      </c>
    </row>
    <row r="33" spans="1:2" x14ac:dyDescent="0.25">
      <c r="A33" s="35">
        <v>0.24</v>
      </c>
      <c r="B33" s="36">
        <f t="shared" si="0"/>
        <v>6559.4229494994606</v>
      </c>
    </row>
    <row r="34" spans="1:2" x14ac:dyDescent="0.25">
      <c r="A34" s="35">
        <v>0.25</v>
      </c>
      <c r="B34" s="36">
        <f t="shared" si="0"/>
        <v>6752.3439971872858</v>
      </c>
    </row>
    <row r="35" spans="1:2" x14ac:dyDescent="0.25">
      <c r="A35" s="35">
        <v>0.26</v>
      </c>
      <c r="B35" s="36">
        <f t="shared" si="0"/>
        <v>6946.1340661552958</v>
      </c>
    </row>
    <row r="36" spans="1:2" x14ac:dyDescent="0.25">
      <c r="A36" s="35">
        <v>0.27</v>
      </c>
      <c r="B36" s="36">
        <f t="shared" si="0"/>
        <v>7140.6957262715414</v>
      </c>
    </row>
    <row r="37" spans="1:2" x14ac:dyDescent="0.25">
      <c r="A37" s="35">
        <v>0.28000000000000003</v>
      </c>
      <c r="B37" s="36">
        <f t="shared" si="0"/>
        <v>7335.9417985558102</v>
      </c>
    </row>
    <row r="38" spans="1:2" x14ac:dyDescent="0.25">
      <c r="A38" s="35">
        <v>0.28999999999999998</v>
      </c>
      <c r="B38" s="36">
        <f t="shared" si="0"/>
        <v>7531.794435085917</v>
      </c>
    </row>
    <row r="39" spans="1:2" x14ac:dyDescent="0.25">
      <c r="A39" s="35">
        <v>0.3</v>
      </c>
      <c r="B39" s="36">
        <f t="shared" si="0"/>
        <v>7728.1842458689116</v>
      </c>
    </row>
    <row r="40" spans="1:2" x14ac:dyDescent="0.25">
      <c r="A40" s="35">
        <v>0.31</v>
      </c>
      <c r="B40" s="36">
        <f t="shared" si="0"/>
        <v>7925.0494789990162</v>
      </c>
    </row>
    <row r="41" spans="1:2" x14ac:dyDescent="0.25">
      <c r="A41" s="35">
        <v>0.32</v>
      </c>
      <c r="B41" s="36">
        <f t="shared" si="0"/>
        <v>8122.33525767218</v>
      </c>
    </row>
    <row r="42" spans="1:2" x14ac:dyDescent="0.25">
      <c r="A42" s="35">
        <v>0.33</v>
      </c>
      <c r="B42" s="36">
        <f t="shared" si="0"/>
        <v>8319.9928754684788</v>
      </c>
    </row>
    <row r="43" spans="1:2" x14ac:dyDescent="0.25">
      <c r="A43" s="35">
        <v>0.34</v>
      </c>
      <c r="B43" s="36">
        <f t="shared" si="0"/>
        <v>8517.9791496626749</v>
      </c>
    </row>
    <row r="44" spans="1:2" x14ac:dyDescent="0.25">
      <c r="A44" s="35">
        <v>0.35</v>
      </c>
      <c r="B44" s="36">
        <f t="shared" si="0"/>
        <v>8716.2558310986715</v>
      </c>
    </row>
    <row r="45" spans="1:2" x14ac:dyDescent="0.25">
      <c r="A45" s="35">
        <v>0.36</v>
      </c>
      <c r="B45" s="36">
        <f t="shared" si="0"/>
        <v>8914.7890682894795</v>
      </c>
    </row>
    <row r="46" spans="1:2" x14ac:dyDescent="0.25">
      <c r="A46" s="35">
        <v>0.37</v>
      </c>
      <c r="B46" s="36">
        <f t="shared" si="0"/>
        <v>9113.5489228136812</v>
      </c>
    </row>
    <row r="47" spans="1:2" x14ac:dyDescent="0.25">
      <c r="A47" s="35">
        <v>0.38</v>
      </c>
      <c r="B47" s="36">
        <f t="shared" si="0"/>
        <v>9312.5089327137557</v>
      </c>
    </row>
    <row r="48" spans="1:2" x14ac:dyDescent="0.25">
      <c r="A48" s="35">
        <v>0.39</v>
      </c>
      <c r="B48" s="36">
        <f t="shared" si="0"/>
        <v>9511.6457204106937</v>
      </c>
    </row>
    <row r="49" spans="1:2" x14ac:dyDescent="0.25">
      <c r="A49" s="35">
        <v>0.4</v>
      </c>
      <c r="B49" s="36">
        <f t="shared" si="0"/>
        <v>9710.9386415919507</v>
      </c>
    </row>
    <row r="50" spans="1:2" x14ac:dyDescent="0.25">
      <c r="A50" s="35">
        <v>0.41</v>
      </c>
      <c r="B50" s="36">
        <f t="shared" si="0"/>
        <v>9910.3694715709298</v>
      </c>
    </row>
    <row r="51" spans="1:2" x14ac:dyDescent="0.25">
      <c r="A51" s="35">
        <v>0.42</v>
      </c>
      <c r="B51" s="36">
        <f t="shared" si="0"/>
        <v>10109.922125728597</v>
      </c>
    </row>
    <row r="52" spans="1:2" x14ac:dyDescent="0.25">
      <c r="A52" s="35">
        <v>0.43</v>
      </c>
      <c r="B52" s="36">
        <f t="shared" si="0"/>
        <v>10309.582410808851</v>
      </c>
    </row>
    <row r="53" spans="1:2" x14ac:dyDescent="0.25">
      <c r="A53" s="35">
        <v>0.44</v>
      </c>
      <c r="B53" s="36">
        <f t="shared" si="0"/>
        <v>10509.337804031884</v>
      </c>
    </row>
    <row r="54" spans="1:2" x14ac:dyDescent="0.25">
      <c r="A54" s="35">
        <v>0.45</v>
      </c>
      <c r="B54" s="36">
        <f t="shared" si="0"/>
        <v>10709.17725720021</v>
      </c>
    </row>
    <row r="55" spans="1:2" x14ac:dyDescent="0.25">
      <c r="A55" s="35">
        <v>0.46</v>
      </c>
      <c r="B55" s="36">
        <f t="shared" si="0"/>
        <v>10909.091023190207</v>
      </c>
    </row>
    <row r="56" spans="1:2" x14ac:dyDescent="0.25">
      <c r="A56" s="35">
        <v>0.47</v>
      </c>
      <c r="B56" s="36">
        <f t="shared" si="0"/>
        <v>11109.070502440665</v>
      </c>
    </row>
    <row r="57" spans="1:2" x14ac:dyDescent="0.25">
      <c r="A57" s="35">
        <v>0.48</v>
      </c>
      <c r="B57" s="36">
        <f t="shared" si="0"/>
        <v>11309.108107262997</v>
      </c>
    </row>
    <row r="58" spans="1:2" x14ac:dyDescent="0.25">
      <c r="A58" s="35">
        <v>0.49</v>
      </c>
      <c r="B58" s="36">
        <f t="shared" si="0"/>
        <v>11509.197142002238</v>
      </c>
    </row>
    <row r="59" spans="1:2" x14ac:dyDescent="0.25">
      <c r="A59" s="35">
        <v>0.5</v>
      </c>
      <c r="B59" s="36">
        <f t="shared" si="0"/>
        <v>11709.331697270956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G13" sqref="G13"/>
    </sheetView>
  </sheetViews>
  <sheetFormatPr baseColWidth="10" defaultRowHeight="15" x14ac:dyDescent="0.25"/>
  <sheetData>
    <row r="1" spans="1:7" x14ac:dyDescent="0.25">
      <c r="A1" t="s">
        <v>26</v>
      </c>
      <c r="B1" s="21">
        <f>+datos!C5</f>
        <v>0.13</v>
      </c>
    </row>
    <row r="2" spans="1:7" x14ac:dyDescent="0.25">
      <c r="A2" t="s">
        <v>25</v>
      </c>
      <c r="B2" s="29" t="s">
        <v>27</v>
      </c>
      <c r="C2" s="29" t="s">
        <v>28</v>
      </c>
      <c r="D2" s="29" t="s">
        <v>29</v>
      </c>
      <c r="E2" s="29" t="s">
        <v>30</v>
      </c>
      <c r="F2" s="29" t="s">
        <v>31</v>
      </c>
      <c r="G2" s="29" t="s">
        <v>32</v>
      </c>
    </row>
    <row r="3" spans="1:7" x14ac:dyDescent="0.25">
      <c r="A3">
        <v>0</v>
      </c>
    </row>
    <row r="4" spans="1:7" x14ac:dyDescent="0.25">
      <c r="A4">
        <v>1</v>
      </c>
      <c r="B4" s="23">
        <f>+(1+$B$1)^A4</f>
        <v>1.1299999999999999</v>
      </c>
      <c r="C4" s="23">
        <f>1/B4</f>
        <v>0.88495575221238942</v>
      </c>
      <c r="D4" s="23">
        <f>+(B4-1)/$B$1</f>
        <v>0.99999999999999911</v>
      </c>
      <c r="E4" s="23">
        <f>1/D4</f>
        <v>1.0000000000000009</v>
      </c>
      <c r="F4" s="23">
        <f>+D4/B4</f>
        <v>0.88495575221238865</v>
      </c>
      <c r="G4" s="23">
        <f>1/F4</f>
        <v>1.130000000000001</v>
      </c>
    </row>
    <row r="5" spans="1:7" x14ac:dyDescent="0.25">
      <c r="A5">
        <v>2</v>
      </c>
      <c r="B5" s="23">
        <f t="shared" ref="B5:B28" si="0">+(1+$B$1)^A5</f>
        <v>1.2768999999999997</v>
      </c>
      <c r="C5" s="23">
        <f t="shared" ref="C5:C28" si="1">1/B5</f>
        <v>0.78314668337379612</v>
      </c>
      <c r="D5" s="23">
        <f t="shared" ref="D5:D28" si="2">+(B5-1)/$B$1</f>
        <v>2.1299999999999977</v>
      </c>
      <c r="E5" s="23">
        <f t="shared" ref="E5:E28" si="3">1/D5</f>
        <v>0.46948356807511787</v>
      </c>
      <c r="F5" s="23">
        <f t="shared" ref="F5:F28" si="4">+D5/B5</f>
        <v>1.6681024355861838</v>
      </c>
      <c r="G5" s="23">
        <f t="shared" ref="G5:G28" si="5">1/F5</f>
        <v>0.59948356807511793</v>
      </c>
    </row>
    <row r="6" spans="1:7" x14ac:dyDescent="0.25">
      <c r="A6">
        <v>3</v>
      </c>
      <c r="B6" s="23">
        <f t="shared" si="0"/>
        <v>1.4428969999999994</v>
      </c>
      <c r="C6" s="23">
        <f t="shared" si="1"/>
        <v>0.69305016227769578</v>
      </c>
      <c r="D6" s="23">
        <f t="shared" si="2"/>
        <v>3.4068999999999954</v>
      </c>
      <c r="E6" s="23">
        <f t="shared" si="3"/>
        <v>0.29352197011946385</v>
      </c>
      <c r="F6" s="23">
        <f t="shared" si="4"/>
        <v>2.3611525978638785</v>
      </c>
      <c r="G6" s="23">
        <f t="shared" si="5"/>
        <v>0.42352197011946385</v>
      </c>
    </row>
    <row r="7" spans="1:7" x14ac:dyDescent="0.25">
      <c r="A7">
        <v>4</v>
      </c>
      <c r="B7" s="23">
        <f t="shared" si="0"/>
        <v>1.6304736099999992</v>
      </c>
      <c r="C7" s="23">
        <f t="shared" si="1"/>
        <v>0.61331872767937679</v>
      </c>
      <c r="D7" s="23">
        <f t="shared" si="2"/>
        <v>4.8497969999999944</v>
      </c>
      <c r="E7" s="23">
        <f t="shared" si="3"/>
        <v>0.20619419740661335</v>
      </c>
      <c r="F7" s="23">
        <f t="shared" si="4"/>
        <v>2.9744713255432553</v>
      </c>
      <c r="G7" s="23">
        <f t="shared" si="5"/>
        <v>0.33619419740661333</v>
      </c>
    </row>
    <row r="8" spans="1:7" x14ac:dyDescent="0.25">
      <c r="A8">
        <v>5</v>
      </c>
      <c r="B8" s="23">
        <f t="shared" si="0"/>
        <v>1.8424351792999989</v>
      </c>
      <c r="C8" s="23">
        <f t="shared" si="1"/>
        <v>0.54275993599944861</v>
      </c>
      <c r="D8" s="23">
        <f t="shared" si="2"/>
        <v>6.4802706099999909</v>
      </c>
      <c r="E8" s="23">
        <f t="shared" si="3"/>
        <v>0.15431454335515804</v>
      </c>
      <c r="F8" s="23">
        <f t="shared" si="4"/>
        <v>3.5172312615427028</v>
      </c>
      <c r="G8" s="23">
        <f t="shared" si="5"/>
        <v>0.28431454335515804</v>
      </c>
    </row>
    <row r="9" spans="1:7" x14ac:dyDescent="0.25">
      <c r="A9">
        <v>6</v>
      </c>
      <c r="B9" s="23">
        <f t="shared" si="0"/>
        <v>2.0819517526089983</v>
      </c>
      <c r="C9" s="23">
        <f t="shared" si="1"/>
        <v>0.48031852743314046</v>
      </c>
      <c r="D9" s="23">
        <f t="shared" si="2"/>
        <v>8.3227057892999863</v>
      </c>
      <c r="E9" s="23">
        <f t="shared" si="3"/>
        <v>0.12015323205172544</v>
      </c>
      <c r="F9" s="23">
        <f t="shared" si="4"/>
        <v>3.9975497889758422</v>
      </c>
      <c r="G9" s="23">
        <f t="shared" si="5"/>
        <v>0.25015323205172546</v>
      </c>
    </row>
    <row r="10" spans="1:7" x14ac:dyDescent="0.25">
      <c r="A10">
        <v>7</v>
      </c>
      <c r="B10" s="23">
        <f t="shared" si="0"/>
        <v>2.352605480448168</v>
      </c>
      <c r="C10" s="23">
        <f t="shared" si="1"/>
        <v>0.425060643746142</v>
      </c>
      <c r="D10" s="23">
        <f t="shared" si="2"/>
        <v>10.404657541908984</v>
      </c>
      <c r="E10" s="23">
        <f t="shared" si="3"/>
        <v>9.6110803836848432E-2</v>
      </c>
      <c r="F10" s="23">
        <f t="shared" si="4"/>
        <v>4.4226104327219842</v>
      </c>
      <c r="G10" s="23">
        <f t="shared" si="5"/>
        <v>0.22611080383684845</v>
      </c>
    </row>
    <row r="11" spans="1:7" x14ac:dyDescent="0.25">
      <c r="A11">
        <v>8</v>
      </c>
      <c r="B11" s="23">
        <f t="shared" si="0"/>
        <v>2.6584441929064297</v>
      </c>
      <c r="C11" s="23">
        <f t="shared" si="1"/>
        <v>0.37615986172224958</v>
      </c>
      <c r="D11" s="23">
        <f t="shared" si="2"/>
        <v>12.757263022357151</v>
      </c>
      <c r="E11" s="23">
        <f t="shared" si="3"/>
        <v>7.8386719647270439E-2</v>
      </c>
      <c r="F11" s="23">
        <f t="shared" si="4"/>
        <v>4.7987702944442336</v>
      </c>
      <c r="G11" s="23">
        <f t="shared" si="5"/>
        <v>0.20838671964727046</v>
      </c>
    </row>
    <row r="12" spans="1:7" x14ac:dyDescent="0.25">
      <c r="A12">
        <v>9</v>
      </c>
      <c r="B12" s="23">
        <f t="shared" si="0"/>
        <v>3.0040419379842653</v>
      </c>
      <c r="C12" s="23">
        <f t="shared" si="1"/>
        <v>0.33288483338252178</v>
      </c>
      <c r="D12" s="23">
        <f t="shared" si="2"/>
        <v>15.415707215263579</v>
      </c>
      <c r="E12" s="23">
        <f t="shared" si="3"/>
        <v>6.4868901960583966E-2</v>
      </c>
      <c r="F12" s="23">
        <f t="shared" si="4"/>
        <v>5.1316551278267557</v>
      </c>
      <c r="G12" s="23">
        <f t="shared" si="5"/>
        <v>0.19486890196058396</v>
      </c>
    </row>
    <row r="13" spans="1:7" x14ac:dyDescent="0.25">
      <c r="A13">
        <v>10</v>
      </c>
      <c r="B13" s="23">
        <f t="shared" si="0"/>
        <v>3.3945673899222193</v>
      </c>
      <c r="C13" s="23">
        <f t="shared" si="1"/>
        <v>0.2945883481261255</v>
      </c>
      <c r="D13" s="23">
        <f t="shared" si="2"/>
        <v>18.419749153247839</v>
      </c>
      <c r="E13" s="23">
        <f t="shared" si="3"/>
        <v>5.4289555828379792E-2</v>
      </c>
      <c r="F13" s="23">
        <f t="shared" si="4"/>
        <v>5.4262434759528801</v>
      </c>
      <c r="G13" s="23">
        <f t="shared" si="5"/>
        <v>0.1842895558283798</v>
      </c>
    </row>
    <row r="14" spans="1:7" x14ac:dyDescent="0.25">
      <c r="A14">
        <v>11</v>
      </c>
      <c r="B14" s="23">
        <f t="shared" si="0"/>
        <v>3.8358611506121072</v>
      </c>
      <c r="C14" s="23">
        <f t="shared" si="1"/>
        <v>0.26069765320896066</v>
      </c>
      <c r="D14" s="23">
        <f t="shared" si="2"/>
        <v>21.814316543170055</v>
      </c>
      <c r="E14" s="23">
        <f t="shared" si="3"/>
        <v>4.5841454533815988E-2</v>
      </c>
      <c r="F14" s="23">
        <f t="shared" si="4"/>
        <v>5.6869411291618404</v>
      </c>
      <c r="G14" s="23">
        <f t="shared" si="5"/>
        <v>0.175841454533816</v>
      </c>
    </row>
    <row r="15" spans="1:7" x14ac:dyDescent="0.25">
      <c r="A15">
        <v>12</v>
      </c>
      <c r="B15" s="23">
        <f t="shared" si="0"/>
        <v>4.3345231001916806</v>
      </c>
      <c r="C15" s="23">
        <f t="shared" si="1"/>
        <v>0.23070588779554044</v>
      </c>
      <c r="D15" s="23">
        <f t="shared" si="2"/>
        <v>25.650177693782158</v>
      </c>
      <c r="E15" s="23">
        <f t="shared" si="3"/>
        <v>3.8986084694548111E-2</v>
      </c>
      <c r="F15" s="23">
        <f t="shared" si="4"/>
        <v>5.9176470169573809</v>
      </c>
      <c r="G15" s="23">
        <f t="shared" si="5"/>
        <v>0.16898608469454812</v>
      </c>
    </row>
    <row r="16" spans="1:7" x14ac:dyDescent="0.25">
      <c r="A16">
        <v>13</v>
      </c>
      <c r="B16" s="23">
        <f t="shared" si="0"/>
        <v>4.8980111032165992</v>
      </c>
      <c r="C16" s="23">
        <f t="shared" si="1"/>
        <v>0.20416450247392959</v>
      </c>
      <c r="D16" s="23">
        <f t="shared" si="2"/>
        <v>29.98470079397384</v>
      </c>
      <c r="E16" s="23">
        <f t="shared" si="3"/>
        <v>3.3350341124663632E-2</v>
      </c>
      <c r="F16" s="23">
        <f t="shared" si="4"/>
        <v>6.1218115194313105</v>
      </c>
      <c r="G16" s="23">
        <f t="shared" si="5"/>
        <v>0.16335034112466365</v>
      </c>
    </row>
    <row r="17" spans="1:7" x14ac:dyDescent="0.25">
      <c r="A17">
        <v>14</v>
      </c>
      <c r="B17" s="23">
        <f t="shared" si="0"/>
        <v>5.5347525466347554</v>
      </c>
      <c r="C17" s="23">
        <f t="shared" si="1"/>
        <v>0.18067655086188467</v>
      </c>
      <c r="D17" s="23">
        <f t="shared" si="2"/>
        <v>34.882711897190426</v>
      </c>
      <c r="E17" s="23">
        <f t="shared" si="3"/>
        <v>2.8667495891583576E-2</v>
      </c>
      <c r="F17" s="23">
        <f t="shared" si="4"/>
        <v>6.3024880702931947</v>
      </c>
      <c r="G17" s="23">
        <f t="shared" si="5"/>
        <v>0.15866749589158358</v>
      </c>
    </row>
    <row r="18" spans="1:7" x14ac:dyDescent="0.25">
      <c r="A18">
        <v>15</v>
      </c>
      <c r="B18" s="23">
        <f t="shared" si="0"/>
        <v>6.2542703776972735</v>
      </c>
      <c r="C18" s="23">
        <f t="shared" si="1"/>
        <v>0.15989075297511918</v>
      </c>
      <c r="D18" s="23">
        <f t="shared" si="2"/>
        <v>40.417464443825182</v>
      </c>
      <c r="E18" s="23">
        <f t="shared" si="3"/>
        <v>2.4741779667793486E-2</v>
      </c>
      <c r="F18" s="23">
        <f t="shared" si="4"/>
        <v>6.4623788232683141</v>
      </c>
      <c r="G18" s="23">
        <f t="shared" si="5"/>
        <v>0.15474177966779348</v>
      </c>
    </row>
    <row r="19" spans="1:7" x14ac:dyDescent="0.25">
      <c r="A19">
        <v>16</v>
      </c>
      <c r="B19" s="23">
        <f t="shared" si="0"/>
        <v>7.0673255267979185</v>
      </c>
      <c r="C19" s="23">
        <f t="shared" si="1"/>
        <v>0.14149624157090193</v>
      </c>
      <c r="D19" s="23">
        <f t="shared" si="2"/>
        <v>46.671734821522449</v>
      </c>
      <c r="E19" s="23">
        <f t="shared" si="3"/>
        <v>2.142624446732275E-2</v>
      </c>
      <c r="F19" s="23">
        <f t="shared" si="4"/>
        <v>6.6038750648392162</v>
      </c>
      <c r="G19" s="23">
        <f t="shared" si="5"/>
        <v>0.15142624446732275</v>
      </c>
    </row>
    <row r="20" spans="1:7" x14ac:dyDescent="0.25">
      <c r="A20">
        <v>17</v>
      </c>
      <c r="B20" s="23">
        <f t="shared" si="0"/>
        <v>7.9860778452816472</v>
      </c>
      <c r="C20" s="23">
        <f t="shared" si="1"/>
        <v>0.12521791289460349</v>
      </c>
      <c r="D20" s="23">
        <f t="shared" si="2"/>
        <v>53.739060348320365</v>
      </c>
      <c r="E20" s="23">
        <f t="shared" si="3"/>
        <v>1.8608438508569036E-2</v>
      </c>
      <c r="F20" s="23">
        <f t="shared" si="4"/>
        <v>6.7290929777338198</v>
      </c>
      <c r="G20" s="23">
        <f t="shared" si="5"/>
        <v>0.14860843850856903</v>
      </c>
    </row>
    <row r="21" spans="1:7" x14ac:dyDescent="0.25">
      <c r="A21">
        <v>18</v>
      </c>
      <c r="B21" s="23">
        <f t="shared" si="0"/>
        <v>9.02426796516826</v>
      </c>
      <c r="C21" s="23">
        <f t="shared" si="1"/>
        <v>0.1108123122961093</v>
      </c>
      <c r="D21" s="23">
        <f t="shared" si="2"/>
        <v>61.725138193602</v>
      </c>
      <c r="E21" s="23">
        <f t="shared" si="3"/>
        <v>1.6200854777570235E-2</v>
      </c>
      <c r="F21" s="23">
        <f t="shared" si="4"/>
        <v>6.8399052900299289</v>
      </c>
      <c r="G21" s="23">
        <f t="shared" si="5"/>
        <v>0.14620085477757022</v>
      </c>
    </row>
    <row r="22" spans="1:7" x14ac:dyDescent="0.25">
      <c r="A22">
        <v>19</v>
      </c>
      <c r="B22" s="23">
        <f t="shared" si="0"/>
        <v>10.197422800640132</v>
      </c>
      <c r="C22" s="23">
        <f t="shared" si="1"/>
        <v>9.8063993182397627E-2</v>
      </c>
      <c r="D22" s="23">
        <f t="shared" si="2"/>
        <v>70.749406158770242</v>
      </c>
      <c r="E22" s="23">
        <f t="shared" si="3"/>
        <v>1.4134394255633452E-2</v>
      </c>
      <c r="F22" s="23">
        <f t="shared" si="4"/>
        <v>6.9379692832123263</v>
      </c>
      <c r="G22" s="23">
        <f t="shared" si="5"/>
        <v>0.14413439425563343</v>
      </c>
    </row>
    <row r="23" spans="1:7" x14ac:dyDescent="0.25">
      <c r="A23">
        <v>20</v>
      </c>
      <c r="B23" s="23">
        <f t="shared" si="0"/>
        <v>11.523087764723348</v>
      </c>
      <c r="C23" s="23">
        <f t="shared" si="1"/>
        <v>8.678229485167932E-2</v>
      </c>
      <c r="D23" s="23">
        <f t="shared" si="2"/>
        <v>80.946828959410368</v>
      </c>
      <c r="E23" s="23">
        <f t="shared" si="3"/>
        <v>1.2353788441810806E-2</v>
      </c>
      <c r="F23" s="23">
        <f t="shared" si="4"/>
        <v>7.0247515780640049</v>
      </c>
      <c r="G23" s="23">
        <f t="shared" si="5"/>
        <v>0.14235378844181082</v>
      </c>
    </row>
    <row r="24" spans="1:7" x14ac:dyDescent="0.25">
      <c r="A24">
        <v>21</v>
      </c>
      <c r="B24" s="23">
        <f t="shared" si="0"/>
        <v>13.021089174137382</v>
      </c>
      <c r="C24" s="23">
        <f t="shared" si="1"/>
        <v>7.6798491019185247E-2</v>
      </c>
      <c r="D24" s="23">
        <f t="shared" si="2"/>
        <v>92.469916724133697</v>
      </c>
      <c r="E24" s="23">
        <f t="shared" si="3"/>
        <v>1.0814327896317985E-2</v>
      </c>
      <c r="F24" s="23">
        <f t="shared" si="4"/>
        <v>7.1015500690831894</v>
      </c>
      <c r="G24" s="23">
        <f t="shared" si="5"/>
        <v>0.14081432789631801</v>
      </c>
    </row>
    <row r="25" spans="1:7" x14ac:dyDescent="0.25">
      <c r="A25">
        <v>22</v>
      </c>
      <c r="B25" s="23">
        <f t="shared" si="0"/>
        <v>14.713830766775239</v>
      </c>
      <c r="C25" s="23">
        <f t="shared" si="1"/>
        <v>6.796326638865953E-2</v>
      </c>
      <c r="D25" s="23">
        <f t="shared" si="2"/>
        <v>105.49100589827107</v>
      </c>
      <c r="E25" s="23">
        <f t="shared" si="3"/>
        <v>9.4794811319207396E-3</v>
      </c>
      <c r="F25" s="23">
        <f t="shared" si="4"/>
        <v>7.1695133354718497</v>
      </c>
      <c r="G25" s="23">
        <f t="shared" si="5"/>
        <v>0.13947948113192074</v>
      </c>
    </row>
    <row r="26" spans="1:7" x14ac:dyDescent="0.25">
      <c r="A26">
        <v>23</v>
      </c>
      <c r="B26" s="23">
        <f t="shared" si="0"/>
        <v>16.626628766456019</v>
      </c>
      <c r="C26" s="23">
        <f t="shared" si="1"/>
        <v>6.0144483529787192E-2</v>
      </c>
      <c r="D26" s="23">
        <f t="shared" si="2"/>
        <v>120.2048366650463</v>
      </c>
      <c r="E26" s="23">
        <f t="shared" si="3"/>
        <v>8.3191328048348358E-3</v>
      </c>
      <c r="F26" s="23">
        <f t="shared" si="4"/>
        <v>7.2296578190016367</v>
      </c>
      <c r="G26" s="23">
        <f t="shared" si="5"/>
        <v>0.13831913280483485</v>
      </c>
    </row>
    <row r="27" spans="1:7" x14ac:dyDescent="0.25">
      <c r="A27">
        <v>24</v>
      </c>
      <c r="B27" s="23">
        <f t="shared" si="0"/>
        <v>18.788090506095301</v>
      </c>
      <c r="C27" s="23">
        <f t="shared" si="1"/>
        <v>5.3225206663528493E-2</v>
      </c>
      <c r="D27" s="23">
        <f t="shared" si="2"/>
        <v>136.83146543150232</v>
      </c>
      <c r="E27" s="23">
        <f t="shared" si="3"/>
        <v>7.3082605440676135E-3</v>
      </c>
      <c r="F27" s="23">
        <f t="shared" si="4"/>
        <v>7.282883025665166</v>
      </c>
      <c r="G27" s="23">
        <f t="shared" si="5"/>
        <v>0.13730826054406761</v>
      </c>
    </row>
    <row r="28" spans="1:7" x14ac:dyDescent="0.25">
      <c r="A28">
        <v>25</v>
      </c>
      <c r="B28" s="23">
        <f t="shared" si="0"/>
        <v>21.230542271887689</v>
      </c>
      <c r="C28" s="23">
        <f t="shared" si="1"/>
        <v>4.7101952799582736E-2</v>
      </c>
      <c r="D28" s="23">
        <f t="shared" si="2"/>
        <v>155.6195559375976</v>
      </c>
      <c r="E28" s="23">
        <f t="shared" si="3"/>
        <v>6.4259276025758188E-3</v>
      </c>
      <c r="F28" s="23">
        <f t="shared" si="4"/>
        <v>7.3299849784647479</v>
      </c>
      <c r="G28" s="23">
        <f t="shared" si="5"/>
        <v>0.13642592760257582</v>
      </c>
    </row>
  </sheetData>
  <sheetProtection password="C432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datos</vt:lpstr>
      <vt:lpstr>tabla costos</vt:lpstr>
      <vt:lpstr>DATOS GRÁFICO</vt:lpstr>
      <vt:lpstr>factores actualización</vt:lpstr>
      <vt:lpstr>CAUE &amp; Tasa interés</vt:lpstr>
      <vt:lpstr>CAUE &amp; periodo estudio</vt:lpstr>
      <vt:lpstr>datos!Área_de_impresión</vt:lpstr>
    </vt:vector>
  </TitlesOfParts>
  <Company>Universidad de Concepción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López Roudergue</dc:creator>
  <cp:lastModifiedBy>Marco López Roudergue</cp:lastModifiedBy>
  <cp:lastPrinted>2016-08-04T19:49:23Z</cp:lastPrinted>
  <dcterms:created xsi:type="dcterms:W3CDTF">2016-07-14T15:42:42Z</dcterms:created>
  <dcterms:modified xsi:type="dcterms:W3CDTF">2017-11-15T12:55:11Z</dcterms:modified>
</cp:coreProperties>
</file>