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840" yWindow="0" windowWidth="19160" windowHeight="13300" tabRatio="500" activeTab="3"/>
  </bookViews>
  <sheets>
    <sheet name="Hoja1" sheetId="1" r:id="rId1"/>
    <sheet name="Laterales" sheetId="2" r:id="rId2"/>
    <sheet name="Secundario" sheetId="3" r:id="rId3"/>
    <sheet name="Matriz" sheetId="4" r:id="rId4"/>
    <sheet name="Singulares" sheetId="5" r:id="rId5"/>
    <sheet name="ADT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4" l="1"/>
  <c r="C33" i="4"/>
  <c r="C36" i="4"/>
  <c r="D13" i="6"/>
  <c r="D7" i="6"/>
  <c r="C13" i="6"/>
  <c r="C7" i="6"/>
  <c r="C23" i="3"/>
  <c r="C25" i="3"/>
  <c r="C26" i="3"/>
  <c r="C28" i="3"/>
  <c r="C7" i="5"/>
  <c r="C14" i="5"/>
  <c r="C12" i="5"/>
  <c r="D15" i="4"/>
  <c r="D3" i="4"/>
  <c r="D4" i="4"/>
  <c r="D7" i="4"/>
  <c r="D8" i="4"/>
  <c r="D14" i="4"/>
  <c r="D16" i="4"/>
  <c r="D18" i="4"/>
  <c r="D19" i="4"/>
  <c r="D22" i="4"/>
  <c r="D23" i="4"/>
  <c r="D29" i="4"/>
  <c r="D31" i="4"/>
  <c r="D36" i="4"/>
  <c r="D26" i="4"/>
  <c r="D27" i="4"/>
  <c r="D11" i="4"/>
  <c r="D12" i="4"/>
  <c r="C15" i="4"/>
  <c r="C3" i="4"/>
  <c r="C4" i="4"/>
  <c r="C7" i="4"/>
  <c r="C8" i="4"/>
  <c r="C14" i="4"/>
  <c r="C16" i="4"/>
  <c r="C18" i="4"/>
  <c r="C19" i="4"/>
  <c r="C22" i="4"/>
  <c r="C23" i="4"/>
  <c r="C29" i="4"/>
  <c r="C31" i="4"/>
  <c r="C26" i="4"/>
  <c r="C27" i="4"/>
  <c r="C11" i="4"/>
  <c r="C12" i="4"/>
  <c r="D20" i="3"/>
  <c r="D30" i="3"/>
  <c r="D3" i="3"/>
  <c r="D6" i="3"/>
  <c r="D7" i="3"/>
  <c r="D10" i="3"/>
  <c r="D11" i="3"/>
  <c r="D14" i="3"/>
  <c r="D15" i="3"/>
  <c r="D16" i="3"/>
  <c r="D17" i="3"/>
  <c r="D23" i="3"/>
  <c r="D25" i="3"/>
  <c r="D26" i="3"/>
  <c r="D28" i="3"/>
  <c r="C26" i="2"/>
  <c r="D24" i="2"/>
  <c r="E24" i="2"/>
  <c r="F24" i="2"/>
  <c r="C24" i="2"/>
  <c r="C10" i="3"/>
  <c r="C11" i="3"/>
  <c r="C14" i="3"/>
  <c r="C16" i="3"/>
  <c r="C6" i="3"/>
  <c r="C3" i="3"/>
  <c r="C30" i="3"/>
  <c r="C20" i="3"/>
  <c r="C7" i="3"/>
  <c r="C15" i="3"/>
  <c r="C17" i="3"/>
  <c r="H11" i="2"/>
  <c r="H10" i="2"/>
  <c r="F13" i="2"/>
  <c r="E13" i="2"/>
  <c r="H20" i="2"/>
  <c r="E4" i="2"/>
  <c r="F4" i="2"/>
  <c r="E7" i="2"/>
  <c r="F7" i="2"/>
  <c r="E8" i="2"/>
  <c r="F8" i="2"/>
  <c r="E11" i="2"/>
  <c r="F11" i="2"/>
  <c r="E12" i="2"/>
  <c r="F12" i="2"/>
  <c r="E15" i="2"/>
  <c r="F15" i="2"/>
  <c r="E16" i="2"/>
  <c r="F16" i="2"/>
  <c r="E17" i="2"/>
  <c r="F17" i="2"/>
  <c r="E18" i="2"/>
  <c r="F18" i="2"/>
  <c r="E21" i="2"/>
  <c r="F21" i="2"/>
  <c r="E26" i="2"/>
  <c r="F26" i="2"/>
  <c r="E27" i="2"/>
  <c r="F27" i="2"/>
  <c r="E29" i="2"/>
  <c r="F29" i="2"/>
  <c r="E31" i="2"/>
  <c r="F31" i="2"/>
  <c r="D21" i="2"/>
  <c r="D31" i="2"/>
  <c r="D7" i="2"/>
  <c r="D8" i="2"/>
  <c r="D11" i="2"/>
  <c r="D12" i="2"/>
  <c r="D15" i="2"/>
  <c r="D16" i="2"/>
  <c r="D17" i="2"/>
  <c r="D18" i="2"/>
  <c r="D26" i="2"/>
  <c r="D27" i="2"/>
  <c r="D29" i="2"/>
  <c r="C4" i="2"/>
  <c r="C7" i="2"/>
  <c r="C8" i="2"/>
  <c r="C11" i="2"/>
  <c r="C12" i="2"/>
  <c r="C15" i="2"/>
  <c r="C16" i="2"/>
  <c r="C17" i="2"/>
  <c r="C18" i="2"/>
  <c r="C21" i="2"/>
  <c r="C27" i="2"/>
  <c r="C31" i="2"/>
  <c r="C29" i="2"/>
  <c r="B65" i="1"/>
  <c r="B64" i="1"/>
  <c r="B61" i="1"/>
  <c r="B66" i="1"/>
  <c r="B67" i="1"/>
  <c r="B69" i="1"/>
  <c r="B62" i="1"/>
  <c r="D59" i="1"/>
  <c r="B59" i="1"/>
  <c r="B53" i="1"/>
  <c r="B29" i="1"/>
  <c r="D57" i="1"/>
  <c r="B57" i="1"/>
  <c r="D56" i="1"/>
  <c r="B56" i="1"/>
  <c r="D53" i="1"/>
  <c r="D52" i="1"/>
  <c r="D43" i="1"/>
  <c r="D48" i="1"/>
  <c r="B52" i="1"/>
  <c r="D41" i="1"/>
  <c r="D50" i="1"/>
  <c r="D46" i="1"/>
  <c r="D38" i="1"/>
  <c r="D37" i="1"/>
  <c r="B50" i="1"/>
  <c r="B38" i="1"/>
  <c r="B41" i="1"/>
  <c r="B43" i="1"/>
  <c r="B48" i="1"/>
  <c r="B46" i="1"/>
  <c r="B37" i="1"/>
  <c r="B33" i="1"/>
  <c r="B32" i="1"/>
  <c r="B27" i="1"/>
  <c r="B26" i="1"/>
  <c r="B24" i="1"/>
  <c r="B19" i="1"/>
  <c r="B20" i="1"/>
  <c r="B21" i="1"/>
  <c r="B4" i="1"/>
</calcChain>
</file>

<file path=xl/sharedStrings.xml><?xml version="1.0" encoding="utf-8"?>
<sst xmlns="http://schemas.openxmlformats.org/spreadsheetml/2006/main" count="264" uniqueCount="128">
  <si>
    <t>ETR</t>
  </si>
  <si>
    <t>mm/día</t>
  </si>
  <si>
    <t>Kc</t>
  </si>
  <si>
    <t>Remolacha</t>
  </si>
  <si>
    <t>Etc</t>
  </si>
  <si>
    <t>Efa</t>
  </si>
  <si>
    <t>Eficiencia de Aplicación</t>
  </si>
  <si>
    <t>CC</t>
  </si>
  <si>
    <t>Uchile</t>
  </si>
  <si>
    <t>-</t>
  </si>
  <si>
    <t>Humedad Aprovechable</t>
  </si>
  <si>
    <t>cm</t>
  </si>
  <si>
    <t>Estrata 2</t>
  </si>
  <si>
    <t>Estrata 1</t>
  </si>
  <si>
    <t>Franca</t>
  </si>
  <si>
    <t>Textura 1</t>
  </si>
  <si>
    <t>Textura 2</t>
  </si>
  <si>
    <t>Franco Arenoso</t>
  </si>
  <si>
    <t>% vol</t>
  </si>
  <si>
    <t>CC1</t>
  </si>
  <si>
    <t>PMP1</t>
  </si>
  <si>
    <t>CC2</t>
  </si>
  <si>
    <t>PMP2</t>
  </si>
  <si>
    <t>Prof.Radicular efectiva</t>
  </si>
  <si>
    <t>HA1</t>
  </si>
  <si>
    <t>HA2</t>
  </si>
  <si>
    <t>mm</t>
  </si>
  <si>
    <t>HA Total</t>
  </si>
  <si>
    <t>Criterio de Riego</t>
  </si>
  <si>
    <t>HA</t>
  </si>
  <si>
    <t>Frecuencia de Riego</t>
  </si>
  <si>
    <t>(HA/Etc)</t>
  </si>
  <si>
    <t>días</t>
  </si>
  <si>
    <t>Lamina de Agua a aplicar</t>
  </si>
  <si>
    <t>AREA TOTAL</t>
  </si>
  <si>
    <t>Area mínima a regar por día</t>
  </si>
  <si>
    <t>Ha</t>
  </si>
  <si>
    <t>m2</t>
  </si>
  <si>
    <t>Radio del Aspersor</t>
  </si>
  <si>
    <t>m</t>
  </si>
  <si>
    <t>Espaciamiento entre aspersores</t>
  </si>
  <si>
    <t>Espaciamiento entre laterales</t>
  </si>
  <si>
    <t>18x18</t>
  </si>
  <si>
    <t>18x15</t>
  </si>
  <si>
    <t>15x15</t>
  </si>
  <si>
    <t>12x12</t>
  </si>
  <si>
    <t>Area</t>
  </si>
  <si>
    <t>Tasa de Aplicación</t>
  </si>
  <si>
    <t>Caudal</t>
  </si>
  <si>
    <t>L/hr</t>
  </si>
  <si>
    <t>mm/hr</t>
  </si>
  <si>
    <t>Opciones</t>
  </si>
  <si>
    <t>Velocidad de infiltración Básica</t>
  </si>
  <si>
    <t>Cumple el aspersor?</t>
  </si>
  <si>
    <t>Vibásica&gt;TasaAplicación?</t>
  </si>
  <si>
    <t>Tiempo de riego</t>
  </si>
  <si>
    <t>horas</t>
  </si>
  <si>
    <t>Recomendación &lt;1.4R e aspersores</t>
  </si>
  <si>
    <t>Recomendación &lt;1.3R entre Laterales</t>
  </si>
  <si>
    <t>Tiempo de riego disponible al día</t>
  </si>
  <si>
    <t>Número de posturas</t>
  </si>
  <si>
    <t>Area por postura</t>
  </si>
  <si>
    <t>Número Aspersores por postura</t>
  </si>
  <si>
    <t>Caudal de Diseño</t>
  </si>
  <si>
    <t>L/s</t>
  </si>
  <si>
    <t>aspersores</t>
  </si>
  <si>
    <t>ha</t>
  </si>
  <si>
    <t>L/s/ha</t>
  </si>
  <si>
    <t>Q aspersor</t>
  </si>
  <si>
    <t>Número de Aspersores</t>
  </si>
  <si>
    <t>Caudal Total</t>
  </si>
  <si>
    <t>Espesor</t>
  </si>
  <si>
    <t>Diámetro Interior</t>
  </si>
  <si>
    <t>Diámetro exterior</t>
  </si>
  <si>
    <t>C</t>
  </si>
  <si>
    <t>m3/s</t>
  </si>
  <si>
    <t>J</t>
  </si>
  <si>
    <t>m/m</t>
  </si>
  <si>
    <t>F</t>
  </si>
  <si>
    <t>L</t>
  </si>
  <si>
    <t>Espaciamiento aspersores</t>
  </si>
  <si>
    <t>Presión Mínima</t>
  </si>
  <si>
    <t>Presión Máxima</t>
  </si>
  <si>
    <t>Presión Operación</t>
  </si>
  <si>
    <t>bar</t>
  </si>
  <si>
    <t>h= J x L x F</t>
  </si>
  <si>
    <t>Altura del Aspersor=Ha</t>
  </si>
  <si>
    <t>Diferencia de Presión</t>
  </si>
  <si>
    <t>(Pmax-ha)-Pmin</t>
  </si>
  <si>
    <t>20% Pn</t>
  </si>
  <si>
    <t>Pendiente</t>
  </si>
  <si>
    <t>Hg</t>
  </si>
  <si>
    <t>Pop+3/4h+Ha+Hg/2</t>
  </si>
  <si>
    <t>Pop-1/4 h-Hg/2</t>
  </si>
  <si>
    <t>Lateral</t>
  </si>
  <si>
    <t>Secundario</t>
  </si>
  <si>
    <t>Q lateral</t>
  </si>
  <si>
    <t>Número de laterales</t>
  </si>
  <si>
    <t>Espaciamiento laterales</t>
  </si>
  <si>
    <t>Altura del Lateral=Ha</t>
  </si>
  <si>
    <t>15% Pn</t>
  </si>
  <si>
    <t>Postura 1</t>
  </si>
  <si>
    <t>Postura 2</t>
  </si>
  <si>
    <t>Postura</t>
  </si>
  <si>
    <t>Diámetro interior</t>
  </si>
  <si>
    <t>V</t>
  </si>
  <si>
    <t>m/s</t>
  </si>
  <si>
    <t>J*L</t>
  </si>
  <si>
    <t>Caudal de la Matriz 6"</t>
  </si>
  <si>
    <t>Caudal de la Matriz 4"</t>
  </si>
  <si>
    <t>TOTAL</t>
  </si>
  <si>
    <t>Diferencia de Elevación</t>
  </si>
  <si>
    <t>K Codo</t>
  </si>
  <si>
    <t>Número codos</t>
  </si>
  <si>
    <t>Velocidad</t>
  </si>
  <si>
    <t>Pérdida Fricción</t>
  </si>
  <si>
    <t>K reucción</t>
  </si>
  <si>
    <t>Número reducciones</t>
  </si>
  <si>
    <t>TOTAL SINGULARES</t>
  </si>
  <si>
    <t>Presión entrada lateral</t>
  </si>
  <si>
    <t>Diferencia presión secundario</t>
  </si>
  <si>
    <t>Matriz</t>
  </si>
  <si>
    <t>Singularidades</t>
  </si>
  <si>
    <t>SUBTOTAL</t>
  </si>
  <si>
    <t>Filtros</t>
  </si>
  <si>
    <t>friccion en succión</t>
  </si>
  <si>
    <t>Altura al espejo de agua</t>
  </si>
  <si>
    <t>CAUDAL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</si>
</sst>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7" formatCode="0.00000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Fill="1"/>
    <xf numFmtId="0" fontId="5" fillId="0" borderId="0" xfId="0" applyFont="1"/>
    <xf numFmtId="165" fontId="2" fillId="0" borderId="0" xfId="0" applyNumberFormat="1" applyFont="1"/>
    <xf numFmtId="167" fontId="2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/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324428</xdr:colOff>
      <xdr:row>3</xdr:row>
      <xdr:rowOff>160866</xdr:rowOff>
    </xdr:from>
    <xdr:to>
      <xdr:col>11</xdr:col>
      <xdr:colOff>20181</xdr:colOff>
      <xdr:row>6</xdr:row>
      <xdr:rowOff>182390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2695" y="550333"/>
          <a:ext cx="3844420" cy="6057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372532</xdr:colOff>
      <xdr:row>12</xdr:row>
      <xdr:rowOff>57178</xdr:rowOff>
    </xdr:from>
    <xdr:to>
      <xdr:col>11</xdr:col>
      <xdr:colOff>347270</xdr:colOff>
      <xdr:row>16</xdr:row>
      <xdr:rowOff>28175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0799" y="2004511"/>
          <a:ext cx="4123405" cy="7499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"/>
  <sheetViews>
    <sheetView topLeftCell="A56" zoomScale="150" zoomScaleNormal="150" zoomScalePageLayoutView="150" workbookViewId="0">
      <selection activeCell="B63" sqref="B63"/>
    </sheetView>
  </sheetViews>
  <sheetFormatPr baseColWidth="10" defaultRowHeight="15" x14ac:dyDescent="0"/>
  <cols>
    <col min="1" max="1" width="33" customWidth="1"/>
    <col min="3" max="3" width="24.83203125" customWidth="1"/>
  </cols>
  <sheetData>
    <row r="2" spans="1:7">
      <c r="A2" t="s">
        <v>0</v>
      </c>
      <c r="B2">
        <v>6</v>
      </c>
      <c r="C2" t="s">
        <v>1</v>
      </c>
    </row>
    <row r="3" spans="1:7">
      <c r="A3" t="s">
        <v>2</v>
      </c>
      <c r="B3">
        <v>1.05</v>
      </c>
      <c r="C3" t="s">
        <v>3</v>
      </c>
    </row>
    <row r="4" spans="1:7">
      <c r="A4" t="s">
        <v>4</v>
      </c>
      <c r="B4">
        <f>+B2*B3</f>
        <v>6.3000000000000007</v>
      </c>
      <c r="C4" t="s">
        <v>1</v>
      </c>
      <c r="F4" t="s">
        <v>7</v>
      </c>
      <c r="G4" t="s">
        <v>8</v>
      </c>
    </row>
    <row r="5" spans="1:7">
      <c r="A5" t="s">
        <v>5</v>
      </c>
      <c r="B5">
        <v>0.75</v>
      </c>
      <c r="C5" t="s">
        <v>6</v>
      </c>
      <c r="F5" t="s">
        <v>9</v>
      </c>
      <c r="G5" t="s">
        <v>9</v>
      </c>
    </row>
    <row r="7" spans="1:7">
      <c r="A7" s="1" t="s">
        <v>10</v>
      </c>
    </row>
    <row r="9" spans="1:7">
      <c r="A9" t="s">
        <v>13</v>
      </c>
      <c r="B9">
        <v>20</v>
      </c>
      <c r="C9" t="s">
        <v>11</v>
      </c>
    </row>
    <row r="10" spans="1:7">
      <c r="A10" t="s">
        <v>12</v>
      </c>
      <c r="B10">
        <v>100</v>
      </c>
      <c r="C10" t="s">
        <v>11</v>
      </c>
    </row>
    <row r="11" spans="1:7">
      <c r="A11" t="s">
        <v>15</v>
      </c>
      <c r="B11" t="s">
        <v>14</v>
      </c>
    </row>
    <row r="12" spans="1:7">
      <c r="A12" t="s">
        <v>16</v>
      </c>
      <c r="B12" t="s">
        <v>17</v>
      </c>
    </row>
    <row r="13" spans="1:7">
      <c r="A13" t="s">
        <v>19</v>
      </c>
      <c r="B13">
        <v>0.35</v>
      </c>
      <c r="C13" t="s">
        <v>18</v>
      </c>
    </row>
    <row r="14" spans="1:7">
      <c r="A14" t="s">
        <v>20</v>
      </c>
      <c r="B14">
        <v>0.17</v>
      </c>
      <c r="C14" t="s">
        <v>18</v>
      </c>
    </row>
    <row r="15" spans="1:7">
      <c r="A15" t="s">
        <v>21</v>
      </c>
      <c r="B15">
        <v>0.25</v>
      </c>
      <c r="C15" t="s">
        <v>18</v>
      </c>
    </row>
    <row r="16" spans="1:7">
      <c r="A16" t="s">
        <v>22</v>
      </c>
      <c r="B16">
        <v>0.1</v>
      </c>
      <c r="C16" t="s">
        <v>18</v>
      </c>
    </row>
    <row r="17" spans="1:4">
      <c r="A17" t="s">
        <v>23</v>
      </c>
      <c r="B17">
        <v>50</v>
      </c>
      <c r="C17" t="s">
        <v>11</v>
      </c>
    </row>
    <row r="19" spans="1:4">
      <c r="A19" t="s">
        <v>24</v>
      </c>
      <c r="B19">
        <f>+(B13-B14)*B9*10</f>
        <v>35.999999999999993</v>
      </c>
      <c r="C19" t="s">
        <v>26</v>
      </c>
    </row>
    <row r="20" spans="1:4">
      <c r="A20" t="s">
        <v>25</v>
      </c>
      <c r="B20">
        <f>+(B15-B16)*(B17-B9)*10</f>
        <v>45</v>
      </c>
      <c r="C20" t="s">
        <v>26</v>
      </c>
    </row>
    <row r="21" spans="1:4">
      <c r="A21" t="s">
        <v>27</v>
      </c>
      <c r="B21">
        <f>+B20+B19</f>
        <v>81</v>
      </c>
      <c r="C21" t="s">
        <v>26</v>
      </c>
    </row>
    <row r="23" spans="1:4">
      <c r="A23" t="s">
        <v>28</v>
      </c>
      <c r="B23">
        <v>0.5</v>
      </c>
    </row>
    <row r="24" spans="1:4">
      <c r="A24" t="s">
        <v>29</v>
      </c>
      <c r="B24" s="3">
        <f>+B21*B23</f>
        <v>40.5</v>
      </c>
      <c r="C24" t="s">
        <v>26</v>
      </c>
    </row>
    <row r="26" spans="1:4">
      <c r="A26" t="s">
        <v>30</v>
      </c>
      <c r="B26" s="2">
        <f>+B24/B4</f>
        <v>6.4285714285714279</v>
      </c>
      <c r="C26" t="s">
        <v>32</v>
      </c>
      <c r="D26" t="s">
        <v>31</v>
      </c>
    </row>
    <row r="27" spans="1:4">
      <c r="B27" s="2">
        <f>+TRUNC(B26)</f>
        <v>6</v>
      </c>
      <c r="C27" t="s">
        <v>32</v>
      </c>
    </row>
    <row r="29" spans="1:4">
      <c r="A29" t="s">
        <v>33</v>
      </c>
      <c r="B29">
        <f>+B27*B4/B5</f>
        <v>50.400000000000006</v>
      </c>
      <c r="C29" t="s">
        <v>26</v>
      </c>
    </row>
    <row r="31" spans="1:4">
      <c r="A31" t="s">
        <v>34</v>
      </c>
      <c r="B31">
        <v>20</v>
      </c>
      <c r="C31" t="s">
        <v>36</v>
      </c>
    </row>
    <row r="32" spans="1:4">
      <c r="A32" t="s">
        <v>35</v>
      </c>
      <c r="B32" s="2">
        <f>+B31/B27</f>
        <v>3.3333333333333335</v>
      </c>
      <c r="C32" t="s">
        <v>36</v>
      </c>
    </row>
    <row r="33" spans="1:6">
      <c r="B33">
        <f>+B32*10000</f>
        <v>33333.333333333336</v>
      </c>
      <c r="C33" t="s">
        <v>37</v>
      </c>
    </row>
    <row r="36" spans="1:6">
      <c r="A36" t="s">
        <v>38</v>
      </c>
      <c r="B36">
        <v>15.7</v>
      </c>
      <c r="C36" t="s">
        <v>39</v>
      </c>
      <c r="D36">
        <v>17.399999999999999</v>
      </c>
    </row>
    <row r="37" spans="1:6">
      <c r="A37" t="s">
        <v>57</v>
      </c>
      <c r="B37">
        <f>+B36*1.4</f>
        <v>21.979999999999997</v>
      </c>
      <c r="C37" t="s">
        <v>39</v>
      </c>
      <c r="D37">
        <f>+D36*1.4</f>
        <v>24.359999999999996</v>
      </c>
    </row>
    <row r="38" spans="1:6">
      <c r="A38" t="s">
        <v>58</v>
      </c>
      <c r="B38">
        <f>1.3*B36</f>
        <v>20.41</v>
      </c>
      <c r="C38" t="s">
        <v>39</v>
      </c>
      <c r="D38">
        <f>1.3*D36</f>
        <v>22.619999999999997</v>
      </c>
      <c r="F38" t="s">
        <v>51</v>
      </c>
    </row>
    <row r="39" spans="1:6">
      <c r="A39" t="s">
        <v>40</v>
      </c>
      <c r="B39">
        <v>18</v>
      </c>
      <c r="C39" t="s">
        <v>39</v>
      </c>
      <c r="D39">
        <v>18</v>
      </c>
    </row>
    <row r="40" spans="1:6">
      <c r="A40" t="s">
        <v>41</v>
      </c>
      <c r="B40">
        <v>15</v>
      </c>
      <c r="C40" t="s">
        <v>39</v>
      </c>
      <c r="D40">
        <v>15</v>
      </c>
      <c r="F40" t="s">
        <v>42</v>
      </c>
    </row>
    <row r="41" spans="1:6">
      <c r="A41" t="s">
        <v>46</v>
      </c>
      <c r="B41">
        <f>+B39*B40</f>
        <v>270</v>
      </c>
      <c r="C41" t="s">
        <v>37</v>
      </c>
      <c r="D41">
        <f>+D39*D40</f>
        <v>270</v>
      </c>
      <c r="F41" t="s">
        <v>43</v>
      </c>
    </row>
    <row r="42" spans="1:6">
      <c r="A42" t="s">
        <v>48</v>
      </c>
      <c r="B42">
        <v>1290</v>
      </c>
      <c r="C42" t="s">
        <v>49</v>
      </c>
      <c r="D42">
        <v>2140</v>
      </c>
      <c r="F42" t="s">
        <v>44</v>
      </c>
    </row>
    <row r="43" spans="1:6">
      <c r="A43" t="s">
        <v>47</v>
      </c>
      <c r="B43" s="2">
        <f>+B42/B41</f>
        <v>4.7777777777777777</v>
      </c>
      <c r="C43" t="s">
        <v>50</v>
      </c>
      <c r="D43" s="2">
        <f>+D42/D41</f>
        <v>7.9259259259259256</v>
      </c>
      <c r="F43" t="s">
        <v>45</v>
      </c>
    </row>
    <row r="45" spans="1:6">
      <c r="A45" t="s">
        <v>52</v>
      </c>
      <c r="B45">
        <v>8</v>
      </c>
      <c r="C45" t="s">
        <v>50</v>
      </c>
      <c r="D45">
        <v>8</v>
      </c>
    </row>
    <row r="46" spans="1:6">
      <c r="A46" t="s">
        <v>53</v>
      </c>
      <c r="B46" s="5" t="str">
        <f>+IF(B45&gt;B43,"OK","No cumple")</f>
        <v>OK</v>
      </c>
      <c r="C46" t="s">
        <v>54</v>
      </c>
      <c r="D46" s="5" t="str">
        <f>+IF(D45&gt;D43,"OK","No cumple")</f>
        <v>OK</v>
      </c>
    </row>
    <row r="48" spans="1:6">
      <c r="A48" t="s">
        <v>55</v>
      </c>
      <c r="B48" s="2">
        <f>+B29/B43</f>
        <v>10.548837209302327</v>
      </c>
      <c r="C48" t="s">
        <v>56</v>
      </c>
      <c r="D48" s="2">
        <f>+B29/D43</f>
        <v>6.3588785046728979</v>
      </c>
    </row>
    <row r="49" spans="1:5">
      <c r="A49" t="s">
        <v>59</v>
      </c>
      <c r="B49">
        <v>22</v>
      </c>
      <c r="C49" t="s">
        <v>56</v>
      </c>
      <c r="D49">
        <v>22</v>
      </c>
    </row>
    <row r="50" spans="1:5">
      <c r="A50" t="s">
        <v>60</v>
      </c>
      <c r="B50">
        <f>+TRUNC(B49/B48)</f>
        <v>2</v>
      </c>
      <c r="D50">
        <f>+TRUNC(D49/D48)</f>
        <v>3</v>
      </c>
    </row>
    <row r="52" spans="1:5">
      <c r="A52" t="s">
        <v>61</v>
      </c>
      <c r="B52" s="2">
        <f>+B33/B50</f>
        <v>16666.666666666668</v>
      </c>
      <c r="C52" t="s">
        <v>37</v>
      </c>
      <c r="D52">
        <f>+B33/D50</f>
        <v>11111.111111111111</v>
      </c>
      <c r="E52" t="s">
        <v>37</v>
      </c>
    </row>
    <row r="53" spans="1:5">
      <c r="A53" t="s">
        <v>62</v>
      </c>
      <c r="B53" s="4">
        <f>+B52/B41</f>
        <v>61.728395061728399</v>
      </c>
      <c r="D53" s="4">
        <f>+D52/D41</f>
        <v>41.152263374485599</v>
      </c>
    </row>
    <row r="54" spans="1:5">
      <c r="B54">
        <v>62</v>
      </c>
      <c r="D54">
        <v>41</v>
      </c>
    </row>
    <row r="56" spans="1:5">
      <c r="A56" t="s">
        <v>63</v>
      </c>
      <c r="B56">
        <f>+B54*B42</f>
        <v>79980</v>
      </c>
      <c r="C56" t="s">
        <v>49</v>
      </c>
      <c r="D56">
        <f>+D54*D42</f>
        <v>87740</v>
      </c>
      <c r="E56" t="s">
        <v>49</v>
      </c>
    </row>
    <row r="57" spans="1:5">
      <c r="B57" s="2">
        <f>+B56/3600</f>
        <v>22.216666666666665</v>
      </c>
      <c r="C57" t="s">
        <v>64</v>
      </c>
      <c r="D57" s="2">
        <f>+D56/3600</f>
        <v>24.372222222222224</v>
      </c>
      <c r="E57" t="s">
        <v>64</v>
      </c>
    </row>
    <row r="59" spans="1:5">
      <c r="B59" s="4">
        <f>+B50*B48</f>
        <v>21.097674418604655</v>
      </c>
      <c r="C59" t="s">
        <v>56</v>
      </c>
      <c r="D59" s="4">
        <f>+D48*D50</f>
        <v>19.076635514018694</v>
      </c>
      <c r="E59" t="s">
        <v>56</v>
      </c>
    </row>
    <row r="61" spans="1:5">
      <c r="A61">
        <v>17</v>
      </c>
      <c r="B61">
        <f>+A61*3600</f>
        <v>61200</v>
      </c>
      <c r="C61" t="s">
        <v>49</v>
      </c>
    </row>
    <row r="62" spans="1:5">
      <c r="B62">
        <f>+B61/B42</f>
        <v>47.441860465116278</v>
      </c>
      <c r="C62" t="s">
        <v>65</v>
      </c>
    </row>
    <row r="63" spans="1:5">
      <c r="B63">
        <v>47</v>
      </c>
    </row>
    <row r="64" spans="1:5">
      <c r="B64">
        <f>+B63*B41</f>
        <v>12690</v>
      </c>
      <c r="C64" t="s">
        <v>37</v>
      </c>
    </row>
    <row r="65" spans="2:3">
      <c r="B65">
        <f>+B64*B50</f>
        <v>25380</v>
      </c>
    </row>
    <row r="66" spans="2:3">
      <c r="B66">
        <f>+B65*6</f>
        <v>152280</v>
      </c>
      <c r="C66" t="s">
        <v>37</v>
      </c>
    </row>
    <row r="67" spans="2:3">
      <c r="B67">
        <f>+B66/10000</f>
        <v>15.228</v>
      </c>
      <c r="C67" t="s">
        <v>66</v>
      </c>
    </row>
    <row r="69" spans="2:3">
      <c r="B69" s="4">
        <f>+A61/B67</f>
        <v>1.1163645915418965</v>
      </c>
      <c r="C69" t="s">
        <v>67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6" zoomScale="150" zoomScaleNormal="150" zoomScalePageLayoutView="150" workbookViewId="0">
      <selection activeCell="A32" sqref="A32"/>
    </sheetView>
  </sheetViews>
  <sheetFormatPr baseColWidth="10" defaultRowHeight="15" x14ac:dyDescent="0"/>
  <cols>
    <col min="1" max="1" width="24" customWidth="1"/>
    <col min="2" max="2" width="7.83203125" customWidth="1"/>
    <col min="3" max="6" width="11" customWidth="1"/>
  </cols>
  <sheetData>
    <row r="1" spans="1:8">
      <c r="C1" t="s">
        <v>101</v>
      </c>
      <c r="D1" t="s">
        <v>102</v>
      </c>
    </row>
    <row r="2" spans="1:8">
      <c r="C2" s="1" t="s">
        <v>94</v>
      </c>
      <c r="D2" s="1"/>
      <c r="E2" s="1"/>
      <c r="F2" s="1"/>
    </row>
    <row r="3" spans="1:8">
      <c r="C3" s="1">
        <v>1</v>
      </c>
      <c r="D3" s="1">
        <v>2</v>
      </c>
      <c r="E3" s="1">
        <v>3</v>
      </c>
      <c r="F3" s="1">
        <v>4</v>
      </c>
    </row>
    <row r="4" spans="1:8">
      <c r="A4" t="s">
        <v>68</v>
      </c>
      <c r="B4" t="s">
        <v>49</v>
      </c>
      <c r="C4">
        <f>+Hoja1!B42</f>
        <v>1290</v>
      </c>
      <c r="D4">
        <v>1290</v>
      </c>
      <c r="E4">
        <f t="shared" ref="E4:F4" si="0">+D4</f>
        <v>1290</v>
      </c>
      <c r="F4">
        <f t="shared" si="0"/>
        <v>1290</v>
      </c>
    </row>
    <row r="5" spans="1:8">
      <c r="A5" t="s">
        <v>69</v>
      </c>
      <c r="C5">
        <v>6</v>
      </c>
      <c r="D5">
        <v>6</v>
      </c>
      <c r="E5">
        <v>7</v>
      </c>
      <c r="F5">
        <v>7</v>
      </c>
    </row>
    <row r="6" spans="1:8">
      <c r="A6" t="s">
        <v>80</v>
      </c>
      <c r="B6" t="s">
        <v>39</v>
      </c>
      <c r="C6">
        <v>18</v>
      </c>
      <c r="D6">
        <v>18</v>
      </c>
      <c r="E6">
        <v>18</v>
      </c>
      <c r="F6">
        <v>18</v>
      </c>
    </row>
    <row r="7" spans="1:8">
      <c r="A7" t="s">
        <v>70</v>
      </c>
      <c r="B7" t="s">
        <v>49</v>
      </c>
      <c r="C7">
        <f>+C4*C5</f>
        <v>7740</v>
      </c>
      <c r="D7">
        <f>+D4*D5</f>
        <v>7740</v>
      </c>
      <c r="E7">
        <f t="shared" ref="E7:F7" si="1">+E4*E5</f>
        <v>9030</v>
      </c>
      <c r="F7">
        <f t="shared" si="1"/>
        <v>9030</v>
      </c>
    </row>
    <row r="8" spans="1:8">
      <c r="B8" t="s">
        <v>75</v>
      </c>
      <c r="C8">
        <f>+C7/1000/3600</f>
        <v>2.15E-3</v>
      </c>
      <c r="D8">
        <f>+D7/1000/3600</f>
        <v>2.15E-3</v>
      </c>
      <c r="E8">
        <f t="shared" ref="E8:F8" si="2">+E7/1000/3600</f>
        <v>2.5083333333333333E-3</v>
      </c>
      <c r="F8">
        <f t="shared" si="2"/>
        <v>2.5083333333333333E-3</v>
      </c>
    </row>
    <row r="9" spans="1:8">
      <c r="A9" t="s">
        <v>73</v>
      </c>
      <c r="B9" t="s">
        <v>26</v>
      </c>
      <c r="C9">
        <v>50.8</v>
      </c>
      <c r="D9">
        <v>50.8</v>
      </c>
      <c r="E9">
        <v>50.8</v>
      </c>
      <c r="F9">
        <v>50.8</v>
      </c>
    </row>
    <row r="10" spans="1:8">
      <c r="A10" t="s">
        <v>71</v>
      </c>
      <c r="C10">
        <v>0.9</v>
      </c>
      <c r="D10">
        <v>0.9</v>
      </c>
      <c r="E10">
        <v>0.9</v>
      </c>
      <c r="F10">
        <v>0.9</v>
      </c>
      <c r="H10">
        <f>125/2</f>
        <v>62.5</v>
      </c>
    </row>
    <row r="11" spans="1:8">
      <c r="A11" t="s">
        <v>72</v>
      </c>
      <c r="B11" t="s">
        <v>26</v>
      </c>
      <c r="C11">
        <f>+C9-2*C10</f>
        <v>49</v>
      </c>
      <c r="D11">
        <f>+D9-2*D10</f>
        <v>49</v>
      </c>
      <c r="E11">
        <f t="shared" ref="E11:F11" si="3">+E9-2*E10</f>
        <v>49</v>
      </c>
      <c r="F11">
        <f t="shared" si="3"/>
        <v>49</v>
      </c>
      <c r="H11">
        <f>+H10/15</f>
        <v>4.166666666666667</v>
      </c>
    </row>
    <row r="12" spans="1:8">
      <c r="B12" t="s">
        <v>39</v>
      </c>
      <c r="C12">
        <f>+C11/1000</f>
        <v>4.9000000000000002E-2</v>
      </c>
      <c r="D12">
        <f>+D11/1000</f>
        <v>4.9000000000000002E-2</v>
      </c>
      <c r="E12">
        <f t="shared" ref="E12:F12" si="4">+E11/1000</f>
        <v>4.9000000000000002E-2</v>
      </c>
      <c r="F12">
        <f t="shared" si="4"/>
        <v>4.9000000000000002E-2</v>
      </c>
    </row>
    <row r="13" spans="1:8">
      <c r="A13" t="s">
        <v>74</v>
      </c>
      <c r="C13">
        <v>120</v>
      </c>
      <c r="D13">
        <v>120</v>
      </c>
      <c r="E13">
        <f>+D13</f>
        <v>120</v>
      </c>
      <c r="F13">
        <f>+D13</f>
        <v>120</v>
      </c>
    </row>
    <row r="15" spans="1:8">
      <c r="A15" s="6" t="s">
        <v>76</v>
      </c>
      <c r="B15" t="s">
        <v>77</v>
      </c>
      <c r="C15">
        <f>10.665*C8^1.852/(C13^1.852*C12^4.869)</f>
        <v>4.1155559122435667E-2</v>
      </c>
      <c r="D15">
        <f>10.665*D8^1.852/(D13^1.852*D12^4.869)</f>
        <v>4.1155559122435667E-2</v>
      </c>
      <c r="E15">
        <f t="shared" ref="E15:F15" si="5">10.665*E8^1.852/(E13^1.852*E12^4.869)</f>
        <v>5.4753761588215689E-2</v>
      </c>
      <c r="F15">
        <f t="shared" si="5"/>
        <v>5.4753761588215689E-2</v>
      </c>
    </row>
    <row r="16" spans="1:8">
      <c r="A16" s="6" t="s">
        <v>79</v>
      </c>
      <c r="B16" t="s">
        <v>39</v>
      </c>
      <c r="C16">
        <f>+(C5-1)*C6+C6/2</f>
        <v>99</v>
      </c>
      <c r="D16">
        <f>+(D5-1)*D6+D6/2</f>
        <v>99</v>
      </c>
      <c r="E16">
        <f t="shared" ref="E16:F16" si="6">+(E5-1)*E6+E6/2</f>
        <v>117</v>
      </c>
      <c r="F16">
        <f t="shared" si="6"/>
        <v>117</v>
      </c>
    </row>
    <row r="17" spans="1:8">
      <c r="A17" t="s">
        <v>78</v>
      </c>
      <c r="C17">
        <f>1/(1.852+1)+1/(2*C5)+(1.852-1)^0.5/(6*C5^2)</f>
        <v>0.43823779558533044</v>
      </c>
      <c r="D17">
        <f>1/(1.852+1)+1/(2*D5)+(1.852-1)^0.5/(6*D5^2)</f>
        <v>0.43823779558533044</v>
      </c>
      <c r="E17">
        <f t="shared" ref="E17:F17" si="7">1/(1.852+1)+1/(2*E5)+(1.852-1)^0.5/(6*E5^2)</f>
        <v>0.42519929407459889</v>
      </c>
      <c r="F17">
        <f t="shared" si="7"/>
        <v>0.42519929407459889</v>
      </c>
    </row>
    <row r="18" spans="1:8">
      <c r="A18" t="s">
        <v>85</v>
      </c>
      <c r="B18" t="s">
        <v>39</v>
      </c>
      <c r="C18">
        <f>+C15*C16*C17</f>
        <v>1.7855562290838964</v>
      </c>
      <c r="D18">
        <f>+D15*D16*D17</f>
        <v>1.7855562290838964</v>
      </c>
      <c r="E18">
        <f t="shared" ref="E18:F18" si="8">+E15*E16*E17</f>
        <v>2.7239075107028694</v>
      </c>
      <c r="F18">
        <f t="shared" si="8"/>
        <v>2.7239075107028694</v>
      </c>
    </row>
    <row r="20" spans="1:8">
      <c r="A20" t="s">
        <v>83</v>
      </c>
      <c r="B20" t="s">
        <v>84</v>
      </c>
      <c r="C20">
        <v>3.16</v>
      </c>
      <c r="D20">
        <v>3.16</v>
      </c>
      <c r="E20">
        <v>4.16</v>
      </c>
      <c r="F20">
        <v>5.16</v>
      </c>
      <c r="H20">
        <f>150000/250</f>
        <v>600</v>
      </c>
    </row>
    <row r="21" spans="1:8">
      <c r="B21" t="s">
        <v>39</v>
      </c>
      <c r="C21">
        <f>+C20*10.33</f>
        <v>32.642800000000001</v>
      </c>
      <c r="D21">
        <f>+D20*10.33</f>
        <v>32.642800000000001</v>
      </c>
      <c r="E21">
        <f t="shared" ref="E21:F21" si="9">+E20*10.33</f>
        <v>42.972799999999999</v>
      </c>
      <c r="F21">
        <f t="shared" si="9"/>
        <v>53.302800000000005</v>
      </c>
    </row>
    <row r="22" spans="1:8">
      <c r="A22" t="s">
        <v>86</v>
      </c>
      <c r="B22" t="s">
        <v>39</v>
      </c>
      <c r="C22">
        <v>0.75</v>
      </c>
      <c r="D22">
        <v>0.75</v>
      </c>
      <c r="E22">
        <v>0.75</v>
      </c>
      <c r="F22">
        <v>0.75</v>
      </c>
    </row>
    <row r="23" spans="1:8">
      <c r="A23" t="s">
        <v>90</v>
      </c>
      <c r="B23" t="s">
        <v>77</v>
      </c>
      <c r="C23">
        <v>-0.02</v>
      </c>
      <c r="D23">
        <v>-0.02</v>
      </c>
      <c r="E23">
        <v>0.02</v>
      </c>
      <c r="F23">
        <v>0.02</v>
      </c>
    </row>
    <row r="24" spans="1:8">
      <c r="A24" t="s">
        <v>91</v>
      </c>
      <c r="B24" t="s">
        <v>39</v>
      </c>
      <c r="C24">
        <f>+C16*C23</f>
        <v>-1.98</v>
      </c>
      <c r="D24">
        <f t="shared" ref="D24:F24" si="10">+D16*D23</f>
        <v>-1.98</v>
      </c>
      <c r="E24">
        <f t="shared" si="10"/>
        <v>2.34</v>
      </c>
      <c r="F24">
        <f t="shared" si="10"/>
        <v>2.34</v>
      </c>
    </row>
    <row r="26" spans="1:8">
      <c r="A26" t="s">
        <v>82</v>
      </c>
      <c r="B26" t="s">
        <v>39</v>
      </c>
      <c r="C26" s="4">
        <f>+C21+0.75*C18+C22+C24/2</f>
        <v>33.741967171812924</v>
      </c>
      <c r="D26" s="4">
        <f>+D21+0.75*D18+D22+D24/2</f>
        <v>33.741967171812924</v>
      </c>
      <c r="E26" s="4">
        <f t="shared" ref="E26:F26" si="11">+E21+0.75*E18+E22+E24/2</f>
        <v>46.935730633027156</v>
      </c>
      <c r="F26" s="4">
        <f t="shared" si="11"/>
        <v>57.265730633027161</v>
      </c>
      <c r="G26" t="s">
        <v>92</v>
      </c>
    </row>
    <row r="27" spans="1:8">
      <c r="A27" t="s">
        <v>81</v>
      </c>
      <c r="B27" t="s">
        <v>39</v>
      </c>
      <c r="C27" s="2">
        <f>+C21-0.25*C18-C24/2</f>
        <v>33.186410942729026</v>
      </c>
      <c r="D27" s="2">
        <f>+D21-0.25*D18-D24/2</f>
        <v>33.186410942729026</v>
      </c>
      <c r="E27" s="2">
        <f t="shared" ref="E27:F27" si="12">+E21-0.25*E18-E24/2</f>
        <v>41.12182312232428</v>
      </c>
      <c r="F27" s="2">
        <f t="shared" si="12"/>
        <v>51.451823122324285</v>
      </c>
      <c r="G27" t="s">
        <v>93</v>
      </c>
    </row>
    <row r="29" spans="1:8">
      <c r="A29" t="s">
        <v>87</v>
      </c>
      <c r="C29" s="4">
        <f>+C26-C22-C27</f>
        <v>-0.19444377091610221</v>
      </c>
      <c r="D29" s="4">
        <f>+D26-D22-D27</f>
        <v>-0.19444377091610221</v>
      </c>
      <c r="E29" s="4">
        <f t="shared" ref="E29:F29" si="13">+E26-E22-E27</f>
        <v>5.0639075107028759</v>
      </c>
      <c r="F29" s="4">
        <f t="shared" si="13"/>
        <v>5.0639075107028759</v>
      </c>
      <c r="G29" t="s">
        <v>88</v>
      </c>
    </row>
    <row r="31" spans="1:8">
      <c r="A31" t="s">
        <v>89</v>
      </c>
      <c r="B31" t="s">
        <v>39</v>
      </c>
      <c r="C31">
        <f>+C21*0.2</f>
        <v>6.5285600000000006</v>
      </c>
      <c r="D31">
        <f>+D21*0.2</f>
        <v>6.5285600000000006</v>
      </c>
      <c r="E31">
        <f t="shared" ref="E31:F31" si="14">+E21*0.2</f>
        <v>8.5945599999999995</v>
      </c>
      <c r="F31">
        <f t="shared" si="14"/>
        <v>10.660560000000002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2" zoomScale="150" zoomScaleNormal="150" zoomScalePageLayoutView="150" workbookViewId="0">
      <selection activeCell="C23" sqref="C23"/>
    </sheetView>
  </sheetViews>
  <sheetFormatPr baseColWidth="10" defaultRowHeight="15" x14ac:dyDescent="0"/>
  <cols>
    <col min="1" max="1" width="22.33203125" customWidth="1"/>
  </cols>
  <sheetData>
    <row r="1" spans="1:4">
      <c r="C1" s="1" t="s">
        <v>95</v>
      </c>
    </row>
    <row r="2" spans="1:4">
      <c r="C2" s="1">
        <v>1</v>
      </c>
      <c r="D2">
        <v>2</v>
      </c>
    </row>
    <row r="3" spans="1:4">
      <c r="A3" t="s">
        <v>96</v>
      </c>
      <c r="B3" t="s">
        <v>49</v>
      </c>
      <c r="C3">
        <f>1290*6*2</f>
        <v>15480</v>
      </c>
      <c r="D3">
        <f>1290*6*2</f>
        <v>15480</v>
      </c>
    </row>
    <row r="4" spans="1:4">
      <c r="A4" t="s">
        <v>97</v>
      </c>
      <c r="C4">
        <v>4</v>
      </c>
      <c r="D4">
        <v>4</v>
      </c>
    </row>
    <row r="5" spans="1:4">
      <c r="A5" t="s">
        <v>98</v>
      </c>
      <c r="B5" t="s">
        <v>39</v>
      </c>
      <c r="C5">
        <v>15</v>
      </c>
      <c r="D5">
        <v>15</v>
      </c>
    </row>
    <row r="6" spans="1:4">
      <c r="A6" t="s">
        <v>70</v>
      </c>
      <c r="B6" t="s">
        <v>49</v>
      </c>
      <c r="C6">
        <f>+C3*C4</f>
        <v>61920</v>
      </c>
      <c r="D6">
        <f>+D3*D4</f>
        <v>61920</v>
      </c>
    </row>
    <row r="7" spans="1:4">
      <c r="B7" t="s">
        <v>75</v>
      </c>
      <c r="C7">
        <f>+C6/1000/3600</f>
        <v>1.72E-2</v>
      </c>
      <c r="D7">
        <f>+D6/1000/3600</f>
        <v>1.72E-2</v>
      </c>
    </row>
    <row r="8" spans="1:4">
      <c r="A8" t="s">
        <v>73</v>
      </c>
      <c r="B8" t="s">
        <v>26</v>
      </c>
      <c r="C8">
        <v>101.6</v>
      </c>
      <c r="D8">
        <v>101.6</v>
      </c>
    </row>
    <row r="9" spans="1:4">
      <c r="A9" t="s">
        <v>71</v>
      </c>
      <c r="C9">
        <v>1.18</v>
      </c>
      <c r="D9">
        <v>1.18</v>
      </c>
    </row>
    <row r="10" spans="1:4">
      <c r="A10" t="s">
        <v>72</v>
      </c>
      <c r="B10" t="s">
        <v>26</v>
      </c>
      <c r="C10">
        <f>+C8-2*C9</f>
        <v>99.24</v>
      </c>
      <c r="D10">
        <f>+D8-2*D9</f>
        <v>99.24</v>
      </c>
    </row>
    <row r="11" spans="1:4">
      <c r="B11" t="s">
        <v>39</v>
      </c>
      <c r="C11">
        <f>+C10/1000</f>
        <v>9.9239999999999995E-2</v>
      </c>
      <c r="D11">
        <f>+D10/1000</f>
        <v>9.9239999999999995E-2</v>
      </c>
    </row>
    <row r="12" spans="1:4">
      <c r="A12" t="s">
        <v>74</v>
      </c>
      <c r="C12">
        <v>120</v>
      </c>
      <c r="D12">
        <v>120</v>
      </c>
    </row>
    <row r="14" spans="1:4">
      <c r="A14" s="6" t="s">
        <v>76</v>
      </c>
      <c r="B14" t="s">
        <v>77</v>
      </c>
      <c r="C14">
        <f>10.665*C7^1.852/(C12^1.852*C11^4.869)</f>
        <v>6.232295870731757E-2</v>
      </c>
      <c r="D14">
        <f>10.665*D7^1.852/(D12^1.852*D11^4.869)</f>
        <v>6.232295870731757E-2</v>
      </c>
    </row>
    <row r="15" spans="1:4">
      <c r="A15" s="6" t="s">
        <v>79</v>
      </c>
      <c r="B15" t="s">
        <v>39</v>
      </c>
      <c r="C15">
        <f>+(C4-1)*C5+C5/2</f>
        <v>52.5</v>
      </c>
      <c r="D15">
        <f>+(D4-1)*D5+D5/2</f>
        <v>52.5</v>
      </c>
    </row>
    <row r="16" spans="1:4">
      <c r="A16" t="s">
        <v>78</v>
      </c>
      <c r="C16">
        <f>1/(1.852+1)+1/(2*C4)+(1.852-1)^0.5/(6*C4^2)</f>
        <v>0.48524612001089268</v>
      </c>
      <c r="D16">
        <f>1/(1.852+1)+1/(2*D4)+(1.852-1)^0.5/(6*D4^2)</f>
        <v>0.48524612001089268</v>
      </c>
    </row>
    <row r="17" spans="1:4">
      <c r="A17" t="s">
        <v>85</v>
      </c>
      <c r="B17" t="s">
        <v>39</v>
      </c>
      <c r="C17">
        <f>+C14*C15*C16</f>
        <v>1.5877036297670588</v>
      </c>
      <c r="D17">
        <f>+D14*D15*D16</f>
        <v>1.5877036297670588</v>
      </c>
    </row>
    <row r="19" spans="1:4">
      <c r="A19" t="s">
        <v>83</v>
      </c>
      <c r="B19" t="s">
        <v>84</v>
      </c>
      <c r="C19">
        <v>3.16</v>
      </c>
      <c r="D19">
        <v>3.16</v>
      </c>
    </row>
    <row r="20" spans="1:4">
      <c r="B20" t="s">
        <v>39</v>
      </c>
      <c r="C20">
        <f>+C19*10.33</f>
        <v>32.642800000000001</v>
      </c>
      <c r="D20">
        <f>+D19*10.33</f>
        <v>32.642800000000001</v>
      </c>
    </row>
    <row r="21" spans="1:4">
      <c r="A21" t="s">
        <v>99</v>
      </c>
      <c r="B21" t="s">
        <v>39</v>
      </c>
      <c r="C21">
        <v>0</v>
      </c>
      <c r="D21">
        <v>0</v>
      </c>
    </row>
    <row r="22" spans="1:4">
      <c r="A22" t="s">
        <v>90</v>
      </c>
      <c r="B22" t="s">
        <v>77</v>
      </c>
      <c r="C22">
        <v>0</v>
      </c>
      <c r="D22">
        <v>0</v>
      </c>
    </row>
    <row r="23" spans="1:4">
      <c r="A23" t="s">
        <v>91</v>
      </c>
      <c r="B23" t="s">
        <v>39</v>
      </c>
      <c r="C23">
        <f>+C15*C22</f>
        <v>0</v>
      </c>
      <c r="D23">
        <f>+D15*D22</f>
        <v>0</v>
      </c>
    </row>
    <row r="25" spans="1:4">
      <c r="A25" t="s">
        <v>82</v>
      </c>
      <c r="B25" t="s">
        <v>39</v>
      </c>
      <c r="C25" s="2">
        <f>+C20+0.75*C17+C21+C23/2</f>
        <v>33.833577722325295</v>
      </c>
      <c r="D25" s="2">
        <f>+D20+0.75*D17+D21+D23/2</f>
        <v>33.833577722325295</v>
      </c>
    </row>
    <row r="26" spans="1:4">
      <c r="A26" t="s">
        <v>81</v>
      </c>
      <c r="B26" t="s">
        <v>39</v>
      </c>
      <c r="C26" s="2">
        <f>+C20-0.25*C17-C23/2</f>
        <v>32.245874092558239</v>
      </c>
      <c r="D26" s="2">
        <f>+D20-0.25*D17-D23/2</f>
        <v>32.245874092558239</v>
      </c>
    </row>
    <row r="28" spans="1:4">
      <c r="A28" t="s">
        <v>87</v>
      </c>
      <c r="C28" s="2">
        <f>+C25-C21-C26</f>
        <v>1.5877036297670557</v>
      </c>
      <c r="D28" s="2">
        <f>+D25-D21-D26</f>
        <v>1.5877036297670557</v>
      </c>
    </row>
    <row r="30" spans="1:4">
      <c r="A30" s="5" t="s">
        <v>100</v>
      </c>
      <c r="B30" s="5" t="s">
        <v>39</v>
      </c>
      <c r="C30" s="5">
        <f>+C20*0.15</f>
        <v>4.89642</v>
      </c>
      <c r="D30" s="5">
        <f>+D20*0.15</f>
        <v>4.89642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5" zoomScale="150" zoomScaleNormal="150" zoomScalePageLayoutView="150" workbookViewId="0">
      <selection activeCell="D33" sqref="D33"/>
    </sheetView>
  </sheetViews>
  <sheetFormatPr baseColWidth="10" defaultRowHeight="15" x14ac:dyDescent="0"/>
  <cols>
    <col min="1" max="1" width="22.33203125" customWidth="1"/>
    <col min="3" max="4" width="12.1640625" bestFit="1" customWidth="1"/>
  </cols>
  <sheetData>
    <row r="1" spans="1:4">
      <c r="C1" s="1" t="s">
        <v>103</v>
      </c>
      <c r="D1" s="1" t="s">
        <v>103</v>
      </c>
    </row>
    <row r="2" spans="1:4">
      <c r="C2" s="1">
        <v>1</v>
      </c>
      <c r="D2" s="1">
        <v>2</v>
      </c>
    </row>
    <row r="3" spans="1:4">
      <c r="A3" s="1" t="s">
        <v>108</v>
      </c>
      <c r="B3" t="s">
        <v>49</v>
      </c>
      <c r="C3">
        <f>48*1290</f>
        <v>61920</v>
      </c>
      <c r="D3">
        <f>48*1290</f>
        <v>61920</v>
      </c>
    </row>
    <row r="4" spans="1:4">
      <c r="B4" t="s">
        <v>75</v>
      </c>
      <c r="C4">
        <f>+C3/3600/1000</f>
        <v>1.72E-2</v>
      </c>
      <c r="D4">
        <f>+D3/3600/1000</f>
        <v>1.72E-2</v>
      </c>
    </row>
    <row r="5" spans="1:4">
      <c r="A5" t="s">
        <v>73</v>
      </c>
      <c r="B5" t="s">
        <v>26</v>
      </c>
      <c r="C5">
        <v>152.4</v>
      </c>
      <c r="D5">
        <v>152.4</v>
      </c>
    </row>
    <row r="6" spans="1:4">
      <c r="A6" t="s">
        <v>71</v>
      </c>
      <c r="B6" t="s">
        <v>26</v>
      </c>
      <c r="C6">
        <v>1.42</v>
      </c>
      <c r="D6">
        <v>1.42</v>
      </c>
    </row>
    <row r="7" spans="1:4">
      <c r="A7" t="s">
        <v>104</v>
      </c>
      <c r="B7" t="s">
        <v>26</v>
      </c>
      <c r="C7">
        <f>+C5-2*C6</f>
        <v>149.56</v>
      </c>
      <c r="D7">
        <f>+D5-2*D6</f>
        <v>149.56</v>
      </c>
    </row>
    <row r="8" spans="1:4">
      <c r="B8" t="s">
        <v>39</v>
      </c>
      <c r="C8">
        <f>+C7/1000</f>
        <v>0.14956</v>
      </c>
      <c r="D8">
        <f>+D7/1000</f>
        <v>0.14956</v>
      </c>
    </row>
    <row r="9" spans="1:4">
      <c r="A9" t="s">
        <v>74</v>
      </c>
      <c r="C9">
        <v>120</v>
      </c>
      <c r="D9">
        <v>120</v>
      </c>
    </row>
    <row r="11" spans="1:4">
      <c r="A11" t="s">
        <v>46</v>
      </c>
      <c r="B11" t="s">
        <v>37</v>
      </c>
      <c r="C11">
        <f>+PI()*(C7/1000)^2/4</f>
        <v>1.7567938171958557E-2</v>
      </c>
      <c r="D11">
        <f>+PI()*(D7/1000)^2/4</f>
        <v>1.7567938171958557E-2</v>
      </c>
    </row>
    <row r="12" spans="1:4">
      <c r="A12" t="s">
        <v>105</v>
      </c>
      <c r="B12" t="s">
        <v>106</v>
      </c>
      <c r="C12" s="4">
        <f>+C4/C11</f>
        <v>0.97905626896240738</v>
      </c>
      <c r="D12" s="4">
        <f>+D4/D11</f>
        <v>0.97905626896240738</v>
      </c>
    </row>
    <row r="14" spans="1:4">
      <c r="A14" t="s">
        <v>76</v>
      </c>
      <c r="B14" t="s">
        <v>77</v>
      </c>
      <c r="C14" s="7">
        <f>10.665*C4^1.852/(C9^1.852*C8^4.869)</f>
        <v>8.4593972193806183E-3</v>
      </c>
      <c r="D14" s="7">
        <f>10.665*D4^1.852/(D9^1.852*D8^4.869)</f>
        <v>8.4593972193806183E-3</v>
      </c>
    </row>
    <row r="15" spans="1:4">
      <c r="A15" t="s">
        <v>79</v>
      </c>
      <c r="B15" t="s">
        <v>39</v>
      </c>
      <c r="C15">
        <f>100+100+125+100</f>
        <v>425</v>
      </c>
      <c r="D15">
        <f>100+100+125+100</f>
        <v>425</v>
      </c>
    </row>
    <row r="16" spans="1:4">
      <c r="A16" t="s">
        <v>107</v>
      </c>
      <c r="B16" t="s">
        <v>39</v>
      </c>
      <c r="C16" s="4">
        <f>+C15*C14</f>
        <v>3.5952438182367628</v>
      </c>
      <c r="D16" s="4">
        <f>+D15*D14</f>
        <v>3.5952438182367628</v>
      </c>
    </row>
    <row r="17" spans="1:4">
      <c r="C17" s="4"/>
      <c r="D17" s="4"/>
    </row>
    <row r="18" spans="1:4">
      <c r="A18" s="1" t="s">
        <v>109</v>
      </c>
      <c r="B18" t="s">
        <v>49</v>
      </c>
      <c r="C18">
        <f>48*1290</f>
        <v>61920</v>
      </c>
      <c r="D18">
        <f>48*1290</f>
        <v>61920</v>
      </c>
    </row>
    <row r="19" spans="1:4">
      <c r="B19" t="s">
        <v>75</v>
      </c>
      <c r="C19">
        <f>+C18/3600/1000</f>
        <v>1.72E-2</v>
      </c>
      <c r="D19">
        <f>+D18/3600/1000</f>
        <v>1.72E-2</v>
      </c>
    </row>
    <row r="20" spans="1:4">
      <c r="A20" t="s">
        <v>73</v>
      </c>
      <c r="B20" t="s">
        <v>26</v>
      </c>
      <c r="C20">
        <v>101.6</v>
      </c>
      <c r="D20">
        <v>101.6</v>
      </c>
    </row>
    <row r="21" spans="1:4">
      <c r="A21" t="s">
        <v>71</v>
      </c>
      <c r="B21" t="s">
        <v>26</v>
      </c>
      <c r="C21">
        <v>1.18</v>
      </c>
      <c r="D21">
        <v>1.18</v>
      </c>
    </row>
    <row r="22" spans="1:4">
      <c r="A22" t="s">
        <v>104</v>
      </c>
      <c r="B22" t="s">
        <v>26</v>
      </c>
      <c r="C22">
        <f>+C20-2*C21</f>
        <v>99.24</v>
      </c>
      <c r="D22">
        <f>+D20-2*D21</f>
        <v>99.24</v>
      </c>
    </row>
    <row r="23" spans="1:4">
      <c r="B23" t="s">
        <v>39</v>
      </c>
      <c r="C23">
        <f>+C22/1000</f>
        <v>9.9239999999999995E-2</v>
      </c>
      <c r="D23">
        <f>+D22/1000</f>
        <v>9.9239999999999995E-2</v>
      </c>
    </row>
    <row r="24" spans="1:4">
      <c r="A24" t="s">
        <v>74</v>
      </c>
      <c r="C24">
        <v>120</v>
      </c>
      <c r="D24">
        <v>120</v>
      </c>
    </row>
    <row r="26" spans="1:4">
      <c r="A26" t="s">
        <v>46</v>
      </c>
      <c r="B26" t="s">
        <v>37</v>
      </c>
      <c r="C26">
        <f>+PI()*(C22/1000)^2/4</f>
        <v>7.7350547591172481E-3</v>
      </c>
      <c r="D26">
        <f>+PI()*(D22/1000)^2/4</f>
        <v>7.7350547591172481E-3</v>
      </c>
    </row>
    <row r="27" spans="1:4">
      <c r="A27" t="s">
        <v>105</v>
      </c>
      <c r="B27" t="s">
        <v>106</v>
      </c>
      <c r="C27" s="4">
        <f>+C19/C26</f>
        <v>2.2236429522010166</v>
      </c>
      <c r="D27" s="4">
        <f>+D19/D26</f>
        <v>2.2236429522010166</v>
      </c>
    </row>
    <row r="29" spans="1:4">
      <c r="A29" t="s">
        <v>76</v>
      </c>
      <c r="B29" t="s">
        <v>77</v>
      </c>
      <c r="C29" s="7">
        <f>10.665*C19^1.852/(C24^1.852*C23^4.869)</f>
        <v>6.232295870731757E-2</v>
      </c>
      <c r="D29" s="7">
        <f>10.665*D19^1.852/(D24^1.852*D23^4.869)</f>
        <v>6.232295870731757E-2</v>
      </c>
    </row>
    <row r="30" spans="1:4">
      <c r="A30" t="s">
        <v>79</v>
      </c>
      <c r="B30" t="s">
        <v>39</v>
      </c>
      <c r="C30">
        <v>60</v>
      </c>
      <c r="D30">
        <v>0</v>
      </c>
    </row>
    <row r="31" spans="1:4">
      <c r="A31" t="s">
        <v>107</v>
      </c>
      <c r="B31" t="s">
        <v>39</v>
      </c>
      <c r="C31" s="4">
        <f>+C30*C29</f>
        <v>3.7393775224390544</v>
      </c>
      <c r="D31" s="4">
        <f>+D30*D29</f>
        <v>0</v>
      </c>
    </row>
    <row r="33" spans="1:4">
      <c r="A33" s="1" t="s">
        <v>110</v>
      </c>
      <c r="B33" t="s">
        <v>39</v>
      </c>
      <c r="C33" s="4">
        <f>+C16+C31</f>
        <v>7.3346213406758167</v>
      </c>
      <c r="D33" s="4">
        <f>+D16+D31</f>
        <v>3.5952438182367628</v>
      </c>
    </row>
    <row r="34" spans="1:4">
      <c r="A34" s="1" t="s">
        <v>111</v>
      </c>
      <c r="B34" t="s">
        <v>39</v>
      </c>
      <c r="C34">
        <v>10</v>
      </c>
      <c r="D34">
        <v>10</v>
      </c>
    </row>
    <row r="36" spans="1:4">
      <c r="A36" s="1" t="s">
        <v>110</v>
      </c>
      <c r="B36" t="s">
        <v>39</v>
      </c>
      <c r="C36" s="8">
        <f>+C34+C33</f>
        <v>17.334621340675817</v>
      </c>
      <c r="D36" s="8">
        <f>+D34+D33</f>
        <v>13.595243818236764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50" zoomScaleNormal="150" zoomScalePageLayoutView="150" workbookViewId="0">
      <selection activeCell="C12" sqref="C12"/>
    </sheetView>
  </sheetViews>
  <sheetFormatPr baseColWidth="10" defaultRowHeight="15" x14ac:dyDescent="0"/>
  <cols>
    <col min="1" max="1" width="17" customWidth="1"/>
  </cols>
  <sheetData>
    <row r="1" spans="1:3">
      <c r="C1" s="10" t="s">
        <v>103</v>
      </c>
    </row>
    <row r="2" spans="1:3">
      <c r="C2" s="10">
        <v>1</v>
      </c>
    </row>
    <row r="4" spans="1:3">
      <c r="A4" t="s">
        <v>112</v>
      </c>
      <c r="C4">
        <v>0.9</v>
      </c>
    </row>
    <row r="5" spans="1:3">
      <c r="A5" t="s">
        <v>113</v>
      </c>
      <c r="C5">
        <v>6</v>
      </c>
    </row>
    <row r="6" spans="1:3">
      <c r="A6" t="s">
        <v>114</v>
      </c>
      <c r="C6">
        <v>0.97899999999999998</v>
      </c>
    </row>
    <row r="7" spans="1:3">
      <c r="A7" t="s">
        <v>115</v>
      </c>
      <c r="B7" t="s">
        <v>39</v>
      </c>
      <c r="C7">
        <f>+C4*C6^2/(2*9.8)*C5</f>
        <v>0.26406027551020406</v>
      </c>
    </row>
    <row r="9" spans="1:3">
      <c r="A9" t="s">
        <v>116</v>
      </c>
      <c r="C9">
        <v>0.25</v>
      </c>
    </row>
    <row r="10" spans="1:3">
      <c r="A10" t="s">
        <v>117</v>
      </c>
      <c r="C10">
        <v>1</v>
      </c>
    </row>
    <row r="11" spans="1:3">
      <c r="A11" t="s">
        <v>114</v>
      </c>
      <c r="C11">
        <v>2.2200000000000002</v>
      </c>
    </row>
    <row r="12" spans="1:3">
      <c r="A12" t="s">
        <v>115</v>
      </c>
      <c r="B12" t="s">
        <v>39</v>
      </c>
      <c r="C12">
        <f>+C9*C11^2/(2*9.8)</f>
        <v>6.2862244897959191E-2</v>
      </c>
    </row>
    <row r="14" spans="1:3">
      <c r="A14" s="1" t="s">
        <v>118</v>
      </c>
      <c r="B14" s="1" t="s">
        <v>39</v>
      </c>
      <c r="C14" s="9">
        <f>+C12+C7</f>
        <v>0.32692252040816328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150" zoomScaleNormal="150" zoomScalePageLayoutView="150" workbookViewId="0">
      <selection activeCell="D13" sqref="D13"/>
    </sheetView>
  </sheetViews>
  <sheetFormatPr baseColWidth="10" defaultRowHeight="15" x14ac:dyDescent="0"/>
  <cols>
    <col min="1" max="1" width="28.83203125" customWidth="1"/>
  </cols>
  <sheetData>
    <row r="1" spans="1:4">
      <c r="C1" t="s">
        <v>101</v>
      </c>
      <c r="D1" t="s">
        <v>103</v>
      </c>
    </row>
    <row r="2" spans="1:4">
      <c r="A2" t="s">
        <v>119</v>
      </c>
      <c r="B2" t="s">
        <v>39</v>
      </c>
      <c r="C2" s="2">
        <v>33.72</v>
      </c>
      <c r="D2">
        <v>33.72</v>
      </c>
    </row>
    <row r="3" spans="1:4">
      <c r="A3" t="s">
        <v>120</v>
      </c>
      <c r="B3" t="s">
        <v>39</v>
      </c>
      <c r="C3">
        <v>1.59</v>
      </c>
      <c r="D3">
        <v>1.59</v>
      </c>
    </row>
    <row r="4" spans="1:4">
      <c r="A4" t="s">
        <v>121</v>
      </c>
      <c r="B4" t="s">
        <v>39</v>
      </c>
      <c r="C4">
        <v>17.335000000000001</v>
      </c>
      <c r="D4">
        <v>13.59</v>
      </c>
    </row>
    <row r="5" spans="1:4">
      <c r="A5" t="s">
        <v>122</v>
      </c>
      <c r="B5" t="s">
        <v>39</v>
      </c>
      <c r="C5">
        <v>0.32</v>
      </c>
    </row>
    <row r="7" spans="1:4">
      <c r="A7" s="1" t="s">
        <v>123</v>
      </c>
      <c r="C7" s="2">
        <f>SUM(C2:C6)</f>
        <v>52.965000000000003</v>
      </c>
      <c r="D7" s="2">
        <f>SUM(D2:D6)</f>
        <v>48.900000000000006</v>
      </c>
    </row>
    <row r="9" spans="1:4">
      <c r="A9" t="s">
        <v>124</v>
      </c>
    </row>
    <row r="10" spans="1:4">
      <c r="A10" t="s">
        <v>125</v>
      </c>
      <c r="B10" t="s">
        <v>39</v>
      </c>
    </row>
    <row r="11" spans="1:4">
      <c r="A11" t="s">
        <v>126</v>
      </c>
      <c r="B11" t="s">
        <v>39</v>
      </c>
      <c r="C11">
        <v>2</v>
      </c>
      <c r="D11">
        <v>2</v>
      </c>
    </row>
    <row r="13" spans="1:4" ht="18">
      <c r="A13" s="11" t="s">
        <v>110</v>
      </c>
      <c r="B13" s="11" t="s">
        <v>39</v>
      </c>
      <c r="C13" s="12">
        <f>SUM(C7:C12)</f>
        <v>54.965000000000003</v>
      </c>
      <c r="D13" s="12">
        <f>SUM(D7:D12)</f>
        <v>50.900000000000006</v>
      </c>
    </row>
    <row r="14" spans="1:4">
      <c r="A14" t="s">
        <v>127</v>
      </c>
      <c r="B14" t="s">
        <v>64</v>
      </c>
      <c r="C14">
        <v>17.2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Laterales</vt:lpstr>
      <vt:lpstr>Secundario</vt:lpstr>
      <vt:lpstr>Matriz</vt:lpstr>
      <vt:lpstr>Singulares</vt:lpstr>
      <vt:lpstr>ADT</vt:lpstr>
    </vt:vector>
  </TitlesOfParts>
  <Company>Universidad de Cconcepción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Lagos</dc:creator>
  <cp:lastModifiedBy>Octavio Lagos</cp:lastModifiedBy>
  <dcterms:created xsi:type="dcterms:W3CDTF">2017-05-20T18:35:20Z</dcterms:created>
  <dcterms:modified xsi:type="dcterms:W3CDTF">2017-06-05T01:37:11Z</dcterms:modified>
</cp:coreProperties>
</file>